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8475" tabRatio="935" firstSheet="1" activeTab="1"/>
  </bookViews>
  <sheets>
    <sheet name="Instructions" sheetId="1" r:id="rId1"/>
    <sheet name="The calculator (Table 1)" sheetId="2" r:id="rId2"/>
    <sheet name="Table 2.1 Taps excl. kitchen" sheetId="3" r:id="rId3"/>
    <sheet name="Table 2.2 Baths" sheetId="4" r:id="rId4"/>
    <sheet name="Table 2.3 Taps Kitchen_Utility" sheetId="5" r:id="rId5"/>
    <sheet name="Table 2.4 DW" sheetId="6" r:id="rId6"/>
    <sheet name="Table 2.5 WM" sheetId="7" r:id="rId7"/>
    <sheet name="Table 2.6 Showers" sheetId="8" r:id="rId8"/>
    <sheet name="Table 2.7 WCs" sheetId="9" r:id="rId9"/>
    <sheet name="Table 3 Softeners" sheetId="10" r:id="rId10"/>
    <sheet name="Table 4.1 Greywater for WCs" sheetId="11" r:id="rId11"/>
    <sheet name="Table 4.2 Greywater for MW" sheetId="12" r:id="rId12"/>
    <sheet name="Table 4.3 Greywater for taps" sheetId="13" r:id="rId13"/>
    <sheet name="Table 4.4 Greywater for showers" sheetId="14" r:id="rId14"/>
    <sheet name="Table 4.5 Greywater for baths" sheetId="15" r:id="rId15"/>
    <sheet name="Table 4.6 Greywater collection" sheetId="16" r:id="rId16"/>
    <sheet name="Table 5.1 Rainwater intermediat" sheetId="17" r:id="rId17"/>
    <sheet name="Table 5.2 Rainwater detailed" sheetId="18" r:id="rId18"/>
    <sheet name="Table 5.3 Rainwater for WCs" sheetId="19" r:id="rId19"/>
    <sheet name="Table 5.4 Rainwater for MW" sheetId="20" r:id="rId20"/>
    <sheet name="Table 5.5 Rainwater savings" sheetId="21" r:id="rId21"/>
  </sheets>
  <definedNames/>
  <calcPr fullCalcOnLoad="1"/>
</workbook>
</file>

<file path=xl/sharedStrings.xml><?xml version="1.0" encoding="utf-8"?>
<sst xmlns="http://schemas.openxmlformats.org/spreadsheetml/2006/main" count="351" uniqueCount="201">
  <si>
    <t>Installation Type</t>
  </si>
  <si>
    <t>Unit of measure</t>
  </si>
  <si>
    <t>Capacity / flowrate</t>
  </si>
  <si>
    <t>Use factor</t>
  </si>
  <si>
    <t>Fixed use (l/person/day)</t>
  </si>
  <si>
    <t>Litres/person/day</t>
  </si>
  <si>
    <t>(1)</t>
  </si>
  <si>
    <t>(2)</t>
  </si>
  <si>
    <t>(3)</t>
  </si>
  <si>
    <t>=[(1)*(2)]+(3)</t>
  </si>
  <si>
    <t>(4)</t>
  </si>
  <si>
    <t>Bath only</t>
  </si>
  <si>
    <t>Shower only</t>
  </si>
  <si>
    <t>Kitchen sink taps</t>
  </si>
  <si>
    <t>Washing machine</t>
  </si>
  <si>
    <t>Dishwasher</t>
  </si>
  <si>
    <t>Waste disposal unit</t>
  </si>
  <si>
    <t>Water softner</t>
  </si>
  <si>
    <r>
      <rPr>
        <b/>
        <sz val="11"/>
        <color indexed="8"/>
        <rFont val="Calibri"/>
        <family val="2"/>
      </rPr>
      <t>WC</t>
    </r>
    <r>
      <rPr>
        <sz val="11"/>
        <color theme="1"/>
        <rFont val="Calibri"/>
        <family val="2"/>
      </rPr>
      <t xml:space="preserve"> (single flush)</t>
    </r>
  </si>
  <si>
    <r>
      <rPr>
        <b/>
        <sz val="11"/>
        <color indexed="8"/>
        <rFont val="Calibri"/>
        <family val="2"/>
      </rPr>
      <t>WC</t>
    </r>
    <r>
      <rPr>
        <sz val="11"/>
        <color theme="1"/>
        <rFont val="Calibri"/>
        <family val="2"/>
      </rPr>
      <t xml:space="preserve"> (dual flush)</t>
    </r>
  </si>
  <si>
    <r>
      <rPr>
        <b/>
        <sz val="11"/>
        <color indexed="8"/>
        <rFont val="Calibri"/>
        <family val="2"/>
      </rPr>
      <t>WCs</t>
    </r>
    <r>
      <rPr>
        <sz val="11"/>
        <color theme="1"/>
        <rFont val="Calibri"/>
        <family val="2"/>
      </rPr>
      <t xml:space="preserve"> (multiple fittings)</t>
    </r>
  </si>
  <si>
    <r>
      <rPr>
        <b/>
        <sz val="11"/>
        <color indexed="8"/>
        <rFont val="Calibri"/>
        <family val="2"/>
      </rPr>
      <t>Taps</t>
    </r>
    <r>
      <rPr>
        <sz val="11"/>
        <color theme="1"/>
        <rFont val="Calibri"/>
        <family val="2"/>
      </rPr>
      <t xml:space="preserve"> (exc kitchen taps)</t>
    </r>
  </si>
  <si>
    <r>
      <rPr>
        <b/>
        <sz val="11"/>
        <color indexed="8"/>
        <rFont val="Calibri"/>
        <family val="2"/>
      </rPr>
      <t>Bath</t>
    </r>
    <r>
      <rPr>
        <sz val="11"/>
        <color theme="1"/>
        <rFont val="Calibri"/>
        <family val="2"/>
      </rPr>
      <t xml:space="preserve"> (where shower also present)</t>
    </r>
  </si>
  <si>
    <r>
      <rPr>
        <b/>
        <sz val="11"/>
        <color indexed="8"/>
        <rFont val="Calibri"/>
        <family val="2"/>
      </rPr>
      <t>Shower</t>
    </r>
    <r>
      <rPr>
        <sz val="11"/>
        <color theme="1"/>
        <rFont val="Calibri"/>
        <family val="2"/>
      </rPr>
      <t xml:space="preserve"> (where bath also present)</t>
    </r>
  </si>
  <si>
    <t>Flush volume (litres)</t>
  </si>
  <si>
    <t>Part flush volume (litres)</t>
  </si>
  <si>
    <t>Average effective flushing volume (litres)</t>
  </si>
  <si>
    <t>Flow rate (l/min)</t>
  </si>
  <si>
    <t>Capacity to overflow (l)</t>
  </si>
  <si>
    <t>l/kg dry load</t>
  </si>
  <si>
    <t>l/place setting</t>
  </si>
  <si>
    <t>l/use</t>
  </si>
  <si>
    <t>l/person/day</t>
  </si>
  <si>
    <t>(5)</t>
  </si>
  <si>
    <r>
      <rPr>
        <b/>
        <sz val="11"/>
        <color indexed="9"/>
        <rFont val="Calibri"/>
        <family val="2"/>
      </rPr>
      <t>Total calculated use (l/person/day)</t>
    </r>
    <r>
      <rPr>
        <sz val="11"/>
        <color indexed="9"/>
        <rFont val="Calibri"/>
        <family val="2"/>
      </rPr>
      <t xml:space="preserve"> = </t>
    </r>
    <r>
      <rPr>
        <sz val="11"/>
        <color indexed="9"/>
        <rFont val="Symbol"/>
        <family val="1"/>
      </rPr>
      <t>S[</t>
    </r>
    <r>
      <rPr>
        <sz val="11"/>
        <color indexed="9"/>
        <rFont val="Calibri"/>
        <family val="2"/>
      </rPr>
      <t>column (4)]</t>
    </r>
  </si>
  <si>
    <t>(6)</t>
  </si>
  <si>
    <t>(7)</t>
  </si>
  <si>
    <t>(8)</t>
  </si>
  <si>
    <t>(9)</t>
  </si>
  <si>
    <t>(10)</t>
  </si>
  <si>
    <t>(11)</t>
  </si>
  <si>
    <t>Normalisation factor</t>
  </si>
  <si>
    <t>External water use</t>
  </si>
  <si>
    <r>
      <rPr>
        <b/>
        <sz val="11"/>
        <color indexed="9"/>
        <rFont val="Calibri"/>
        <family val="2"/>
      </rPr>
      <t>Total water consumption (CSH)</t>
    </r>
    <r>
      <rPr>
        <sz val="11"/>
        <color indexed="9"/>
        <rFont val="Calibri"/>
        <family val="2"/>
      </rPr>
      <t xml:space="preserve"> = [(5)-(6)-(7)]*(8) (l/person/day)</t>
    </r>
  </si>
  <si>
    <r>
      <rPr>
        <b/>
        <sz val="11"/>
        <color indexed="9"/>
        <rFont val="Calibri"/>
        <family val="2"/>
      </rPr>
      <t>Total water consumption (Part G)</t>
    </r>
    <r>
      <rPr>
        <sz val="11"/>
        <color indexed="9"/>
        <rFont val="Calibri"/>
        <family val="2"/>
      </rPr>
      <t xml:space="preserve"> = (9)+(10) (l/person/day)</t>
    </r>
  </si>
  <si>
    <t>Table 2: Consumption calculator for multiple fittings for new dwellings</t>
  </si>
  <si>
    <t>Taps (excluding kitchen sink taps)</t>
  </si>
  <si>
    <t>Tap fitting type</t>
  </si>
  <si>
    <t>Quantity (No.)</t>
  </si>
  <si>
    <t>Total per fitting type</t>
  </si>
  <si>
    <t>(a)</t>
  </si>
  <si>
    <t>(b)</t>
  </si>
  <si>
    <t>(c)</t>
  </si>
  <si>
    <t>=(a)*(b)</t>
  </si>
  <si>
    <r>
      <rPr>
        <b/>
        <sz val="11"/>
        <color indexed="9"/>
        <rFont val="Calibri"/>
        <family val="2"/>
      </rPr>
      <t>Total</t>
    </r>
    <r>
      <rPr>
        <sz val="11"/>
        <color indexed="9"/>
        <rFont val="Calibri"/>
        <family val="2"/>
      </rPr>
      <t xml:space="preserve"> (sum of all totals per fitting type)                                      </t>
    </r>
    <r>
      <rPr>
        <b/>
        <sz val="11"/>
        <color indexed="9"/>
        <rFont val="Calibri"/>
        <family val="2"/>
      </rPr>
      <t>(e)</t>
    </r>
  </si>
  <si>
    <r>
      <rPr>
        <b/>
        <sz val="11"/>
        <color indexed="9"/>
        <rFont val="Calibri"/>
        <family val="2"/>
      </rPr>
      <t>Total</t>
    </r>
    <r>
      <rPr>
        <sz val="11"/>
        <color indexed="9"/>
        <rFont val="Calibri"/>
        <family val="2"/>
      </rPr>
      <t xml:space="preserve"> (sum of all quantities)                   </t>
    </r>
    <r>
      <rPr>
        <b/>
        <sz val="11"/>
        <color indexed="9"/>
        <rFont val="Calibri"/>
        <family val="2"/>
      </rPr>
      <t>(d)</t>
    </r>
  </si>
  <si>
    <r>
      <rPr>
        <b/>
        <sz val="11"/>
        <color indexed="9"/>
        <rFont val="Calibri"/>
        <family val="2"/>
      </rPr>
      <t>Average flow rate</t>
    </r>
    <r>
      <rPr>
        <sz val="11"/>
        <color indexed="9"/>
        <rFont val="Calibri"/>
        <family val="2"/>
      </rPr>
      <t xml:space="preserve"> (l/min)                                                      </t>
    </r>
    <r>
      <rPr>
        <b/>
        <sz val="11"/>
        <color indexed="9"/>
        <rFont val="Calibri"/>
        <family val="2"/>
      </rPr>
      <t xml:space="preserve"> =(e)/(d)</t>
    </r>
  </si>
  <si>
    <r>
      <rPr>
        <b/>
        <sz val="11"/>
        <color indexed="9"/>
        <rFont val="Calibri"/>
        <family val="2"/>
      </rPr>
      <t>Maximum flow rate</t>
    </r>
    <r>
      <rPr>
        <sz val="11"/>
        <color indexed="9"/>
        <rFont val="Calibri"/>
        <family val="2"/>
      </rPr>
      <t xml:space="preserve"> (l/min)                                                               </t>
    </r>
    <r>
      <rPr>
        <b/>
        <sz val="11"/>
        <color indexed="9"/>
        <rFont val="Calibri"/>
        <family val="2"/>
      </rPr>
      <t>(f)</t>
    </r>
  </si>
  <si>
    <t>Flow rate to use for table 1  (l/min)</t>
  </si>
  <si>
    <t>Baths</t>
  </si>
  <si>
    <t>Bath fitting type</t>
  </si>
  <si>
    <t>Dishwashers</t>
  </si>
  <si>
    <t>Dishwasher fitting type</t>
  </si>
  <si>
    <t>Litres per place setting (l)</t>
  </si>
  <si>
    <r>
      <rPr>
        <b/>
        <sz val="11"/>
        <color indexed="9"/>
        <rFont val="Calibri"/>
        <family val="2"/>
      </rPr>
      <t>Average litres per place setting</t>
    </r>
    <r>
      <rPr>
        <sz val="11"/>
        <color indexed="9"/>
        <rFont val="Calibri"/>
        <family val="2"/>
      </rPr>
      <t xml:space="preserve"> (l)                                     </t>
    </r>
    <r>
      <rPr>
        <b/>
        <sz val="11"/>
        <color indexed="9"/>
        <rFont val="Calibri"/>
        <family val="2"/>
      </rPr>
      <t xml:space="preserve"> =(e)/(d)</t>
    </r>
  </si>
  <si>
    <t>litres per place setting to use for table 1  (l)</t>
  </si>
  <si>
    <r>
      <rPr>
        <b/>
        <sz val="11"/>
        <color indexed="9"/>
        <rFont val="Calibri"/>
        <family val="2"/>
      </rPr>
      <t>Average capacity to overflow</t>
    </r>
    <r>
      <rPr>
        <sz val="11"/>
        <color indexed="9"/>
        <rFont val="Calibri"/>
        <family val="2"/>
      </rPr>
      <t xml:space="preserve"> (l)                                         </t>
    </r>
    <r>
      <rPr>
        <b/>
        <sz val="11"/>
        <color indexed="9"/>
        <rFont val="Calibri"/>
        <family val="2"/>
      </rPr>
      <t xml:space="preserve"> =(e)/(d)</t>
    </r>
  </si>
  <si>
    <t>Capacity to overflow  to use for table 1  (l)</t>
  </si>
  <si>
    <t>Washing machines</t>
  </si>
  <si>
    <t>Washing machine type</t>
  </si>
  <si>
    <t>Litres per kg of dry load (l)</t>
  </si>
  <si>
    <r>
      <rPr>
        <b/>
        <sz val="11"/>
        <color indexed="9"/>
        <rFont val="Calibri"/>
        <family val="2"/>
      </rPr>
      <t>Average litres per kg of dry load</t>
    </r>
    <r>
      <rPr>
        <sz val="11"/>
        <color indexed="9"/>
        <rFont val="Calibri"/>
        <family val="2"/>
      </rPr>
      <t xml:space="preserve"> (l)                                   </t>
    </r>
    <r>
      <rPr>
        <b/>
        <sz val="11"/>
        <color indexed="9"/>
        <rFont val="Calibri"/>
        <family val="2"/>
      </rPr>
      <t xml:space="preserve"> =(e)/(d)</t>
    </r>
  </si>
  <si>
    <t>litres per kg of dry load to use for table 1  (l)</t>
  </si>
  <si>
    <t>Showers</t>
  </si>
  <si>
    <t>Shower fitting type</t>
  </si>
  <si>
    <t>WCs</t>
  </si>
  <si>
    <t>WC type</t>
  </si>
  <si>
    <t>Effective flushing volume (l)</t>
  </si>
  <si>
    <t>Dual flush WCs</t>
  </si>
  <si>
    <t xml:space="preserve">Full flush volume </t>
  </si>
  <si>
    <t>Part flush volume</t>
  </si>
  <si>
    <t>(l)</t>
  </si>
  <si>
    <t>Flush volume</t>
  </si>
  <si>
    <t>Single flush WCs</t>
  </si>
  <si>
    <t>Water softeners</t>
  </si>
  <si>
    <t>Total capacity used per regeneration (%) (note 1)</t>
  </si>
  <si>
    <t>Water consumed per regeneration (litres)</t>
  </si>
  <si>
    <t>Average number of regeneration cycles per day (No.)</t>
  </si>
  <si>
    <t>Number of occupants served by the system (No.) (note 2)</t>
  </si>
  <si>
    <t>Water consumed beyond 4% (l/person/day) =[(e)/(d)]</t>
  </si>
  <si>
    <r>
      <rPr>
        <b/>
        <sz val="11"/>
        <color indexed="8"/>
        <rFont val="Calibri"/>
        <family val="2"/>
      </rPr>
      <t>Note 1</t>
    </r>
    <r>
      <rPr>
        <sz val="11"/>
        <color theme="1"/>
        <rFont val="Calibri"/>
        <family val="2"/>
      </rPr>
      <t>: the total capacity is the volume of water that flows through the water softener between regeneration cycles. This volume is dependent on the hardness of the water and the total capacity used in this calculation needs to reflect the hardness of water specific to the geographic location of the specific development.</t>
    </r>
  </si>
  <si>
    <t>Note2:  Number of occupants is based on two occupants in the master bedroom and 1 occupant per additional bedroom.</t>
  </si>
  <si>
    <t>(d)</t>
  </si>
  <si>
    <t>(e)</t>
  </si>
  <si>
    <t xml:space="preserve">Water consumed beyond 4% (l/day) = [1-[4/(a)]*[(b)*(c)]   </t>
  </si>
  <si>
    <t>Percentage of used water (a) to be recycled (%)</t>
  </si>
  <si>
    <t>Table 3: The Water Softener consumption calculation for  new dwellings</t>
  </si>
  <si>
    <r>
      <t>Collection area (m</t>
    </r>
    <r>
      <rPr>
        <vertAlign val="superscript"/>
        <sz val="11"/>
        <color indexed="8"/>
        <rFont val="Calibri"/>
        <family val="2"/>
      </rPr>
      <t>2</t>
    </r>
    <r>
      <rPr>
        <sz val="11"/>
        <color theme="1"/>
        <rFont val="Calibri"/>
        <family val="2"/>
      </rPr>
      <t>)</t>
    </r>
  </si>
  <si>
    <t>Yield co-efficient and hydraulic filter efficiency (e.g. 0.7)</t>
  </si>
  <si>
    <t>Rainfall (average mm/year)</t>
  </si>
  <si>
    <t>Daily rainfall collection (litres)  =[(a)*(b)*(c)]/365</t>
  </si>
  <si>
    <t>Number of occupants (note 1)</t>
  </si>
  <si>
    <t>Note1:  Number of occupants is based on two occupants in the master bedroom and 1 occupant per additional bedroom.</t>
  </si>
  <si>
    <t>Instructions for completing  the calculator</t>
  </si>
  <si>
    <t>Water calculator for the Code for Sustainable Homes and Buiding Regulations Part G</t>
  </si>
  <si>
    <t>Note: enter data or answers into cells shaded green</t>
  </si>
  <si>
    <t>Table 1: The water  calculator for new dwellings</t>
  </si>
  <si>
    <t>Average effective flushing volume (l)            =(e)/(d)</t>
  </si>
  <si>
    <r>
      <rPr>
        <b/>
        <sz val="11"/>
        <color indexed="9"/>
        <rFont val="Calibri"/>
        <family val="2"/>
      </rPr>
      <t>Total</t>
    </r>
    <r>
      <rPr>
        <sz val="11"/>
        <color indexed="9"/>
        <rFont val="Calibri"/>
        <family val="2"/>
      </rPr>
      <t xml:space="preserve"> (sum of all totals per fitting type)                                                                                                                                                                    </t>
    </r>
    <r>
      <rPr>
        <b/>
        <sz val="11"/>
        <color indexed="9"/>
        <rFont val="Calibri"/>
        <family val="2"/>
      </rPr>
      <t>(e)</t>
    </r>
  </si>
  <si>
    <r>
      <rPr>
        <b/>
        <sz val="11"/>
        <color indexed="9"/>
        <rFont val="Calibri"/>
        <family val="2"/>
      </rPr>
      <t>Total</t>
    </r>
    <r>
      <rPr>
        <sz val="11"/>
        <color indexed="9"/>
        <rFont val="Calibri"/>
        <family val="2"/>
      </rPr>
      <t xml:space="preserve"> (sum of all quantities)                                                                                                                                              </t>
    </r>
    <r>
      <rPr>
        <b/>
        <sz val="11"/>
        <color indexed="9"/>
        <rFont val="Calibri"/>
        <family val="2"/>
      </rPr>
      <t>(d)</t>
    </r>
  </si>
  <si>
    <t>Instructions</t>
  </si>
  <si>
    <t>Full flush volume (litres)</t>
  </si>
  <si>
    <t>If present enter 1 in column (1), if not enter 0</t>
  </si>
  <si>
    <t>This spreadsheet has been put together by Artesia Consulting.</t>
  </si>
  <si>
    <t>For more information contact:</t>
  </si>
  <si>
    <t>dene.marshallsay@artesia-consulting.co.uk</t>
  </si>
  <si>
    <t>Start at 'The calculator (Table 1) and follow instructions in right hand column.</t>
  </si>
  <si>
    <r>
      <t>Complete '</t>
    </r>
    <r>
      <rPr>
        <sz val="11"/>
        <color indexed="10"/>
        <rFont val="Calibri"/>
        <family val="2"/>
      </rPr>
      <t>Table 3 Softeners</t>
    </r>
    <r>
      <rPr>
        <sz val="11"/>
        <color theme="1"/>
        <rFont val="Calibri"/>
        <family val="2"/>
      </rPr>
      <t>'</t>
    </r>
  </si>
  <si>
    <t>Taps (Kitchen/Utility room sink)</t>
  </si>
  <si>
    <r>
      <rPr>
        <b/>
        <sz val="11"/>
        <color indexed="9"/>
        <rFont val="Calibri"/>
        <family val="2"/>
      </rPr>
      <t>Highest flow rate</t>
    </r>
    <r>
      <rPr>
        <sz val="11"/>
        <color indexed="9"/>
        <rFont val="Calibri"/>
        <family val="2"/>
      </rPr>
      <t xml:space="preserve"> (l/min)                                                               </t>
    </r>
    <r>
      <rPr>
        <b/>
        <sz val="11"/>
        <color indexed="9"/>
        <rFont val="Calibri"/>
        <family val="2"/>
      </rPr>
      <t>(f)</t>
    </r>
  </si>
  <si>
    <r>
      <rPr>
        <b/>
        <sz val="11"/>
        <color indexed="9"/>
        <rFont val="Calibri"/>
        <family val="2"/>
      </rPr>
      <t>Proportionate flow rate</t>
    </r>
    <r>
      <rPr>
        <sz val="11"/>
        <color indexed="9"/>
        <rFont val="Calibri"/>
        <family val="2"/>
      </rPr>
      <t xml:space="preserve"> (l/min)                                </t>
    </r>
    <r>
      <rPr>
        <b/>
        <sz val="11"/>
        <color indexed="9"/>
        <rFont val="Calibri"/>
        <family val="2"/>
      </rPr>
      <t>=[(f)*0.7]</t>
    </r>
  </si>
  <si>
    <r>
      <rPr>
        <b/>
        <sz val="11"/>
        <color indexed="9"/>
        <rFont val="Calibri"/>
        <family val="2"/>
      </rPr>
      <t>Highest litres per place setting</t>
    </r>
    <r>
      <rPr>
        <sz val="11"/>
        <color indexed="9"/>
        <rFont val="Calibri"/>
        <family val="2"/>
      </rPr>
      <t xml:space="preserve"> (l)                                              </t>
    </r>
    <r>
      <rPr>
        <b/>
        <sz val="11"/>
        <color indexed="9"/>
        <rFont val="Calibri"/>
        <family val="2"/>
      </rPr>
      <t>(f)</t>
    </r>
  </si>
  <si>
    <r>
      <rPr>
        <b/>
        <sz val="11"/>
        <color indexed="9"/>
        <rFont val="Calibri"/>
        <family val="2"/>
      </rPr>
      <t>Proportionate litres per place setting (l)</t>
    </r>
    <r>
      <rPr>
        <sz val="11"/>
        <color indexed="9"/>
        <rFont val="Calibri"/>
        <family val="2"/>
      </rPr>
      <t xml:space="preserve">                                </t>
    </r>
    <r>
      <rPr>
        <b/>
        <sz val="11"/>
        <color indexed="9"/>
        <rFont val="Calibri"/>
        <family val="2"/>
      </rPr>
      <t>=[(f)*0.7]</t>
    </r>
  </si>
  <si>
    <r>
      <rPr>
        <b/>
        <sz val="11"/>
        <color indexed="9"/>
        <rFont val="Calibri"/>
        <family val="2"/>
      </rPr>
      <t>Highest litres per kg of dry load</t>
    </r>
    <r>
      <rPr>
        <sz val="11"/>
        <color indexed="9"/>
        <rFont val="Calibri"/>
        <family val="2"/>
      </rPr>
      <t xml:space="preserve"> (l)                                           </t>
    </r>
    <r>
      <rPr>
        <b/>
        <sz val="11"/>
        <color indexed="9"/>
        <rFont val="Calibri"/>
        <family val="2"/>
      </rPr>
      <t>(f)</t>
    </r>
  </si>
  <si>
    <r>
      <rPr>
        <b/>
        <sz val="11"/>
        <color indexed="9"/>
        <rFont val="Calibri"/>
        <family val="2"/>
      </rPr>
      <t>Proportionate litres per kg of dry load (l)</t>
    </r>
    <r>
      <rPr>
        <sz val="11"/>
        <color indexed="9"/>
        <rFont val="Calibri"/>
        <family val="2"/>
      </rPr>
      <t xml:space="preserve">                              </t>
    </r>
    <r>
      <rPr>
        <b/>
        <sz val="11"/>
        <color indexed="9"/>
        <rFont val="Calibri"/>
        <family val="2"/>
      </rPr>
      <t>=[(f)*0.7]</t>
    </r>
  </si>
  <si>
    <r>
      <rPr>
        <b/>
        <sz val="11"/>
        <color indexed="9"/>
        <rFont val="Calibri"/>
        <family val="2"/>
      </rPr>
      <t>Proportionate average flow rate</t>
    </r>
    <r>
      <rPr>
        <sz val="11"/>
        <color indexed="9"/>
        <rFont val="Calibri"/>
        <family val="2"/>
      </rPr>
      <t xml:space="preserve"> (l/min)                                </t>
    </r>
    <r>
      <rPr>
        <b/>
        <sz val="11"/>
        <color indexed="9"/>
        <rFont val="Calibri"/>
        <family val="2"/>
      </rPr>
      <t>=[(f)*0.7]</t>
    </r>
  </si>
  <si>
    <t>Greywater for WCs</t>
  </si>
  <si>
    <t>Effective flushing volume (litres)</t>
  </si>
  <si>
    <t>Number of fittings present</t>
  </si>
  <si>
    <t>Quantity using greywater</t>
  </si>
  <si>
    <t>Greywater demand</t>
  </si>
  <si>
    <t>(d) = (a)*(c)</t>
  </si>
  <si>
    <t>Total Greywater demand fittings consumption (f ) = Sum of (d )</t>
  </si>
  <si>
    <t>Total fittings consumption         (e ) = Sum of (b )</t>
  </si>
  <si>
    <t>Average greywater demand from WCs</t>
  </si>
  <si>
    <t>Greywater for WM</t>
  </si>
  <si>
    <t>Litres per kg</t>
  </si>
  <si>
    <t>Average greywater demand from washing machines</t>
  </si>
  <si>
    <t>Greywater for taps</t>
  </si>
  <si>
    <t>Litres per minute</t>
  </si>
  <si>
    <t>Total Greywater demand (f ) = Sum of (d )</t>
  </si>
  <si>
    <t>Greywater for showers</t>
  </si>
  <si>
    <t>Average greywater supply from showers (where bath present)</t>
  </si>
  <si>
    <t>Average greywater supply from showers (shower only)</t>
  </si>
  <si>
    <t>Average greywater supply from taps</t>
  </si>
  <si>
    <t>Greywater for baths</t>
  </si>
  <si>
    <t>Greywater supply</t>
  </si>
  <si>
    <t>Average greywater supply from baths (where shower present)</t>
  </si>
  <si>
    <t>Average greywater supply from baths (bath only)</t>
  </si>
  <si>
    <t>Greywater collection for new dwellings</t>
  </si>
  <si>
    <t>Bath , shower and wash hand basin usage (litres/person/day)</t>
  </si>
  <si>
    <t>Greywater available for use (litres/person/day)</t>
  </si>
  <si>
    <t>(c ) = (a)*[(b)/100]</t>
  </si>
  <si>
    <t>Greywater demand (litres/person/day)</t>
  </si>
  <si>
    <t>Greywater savings (litres/person/day)</t>
  </si>
  <si>
    <t>(e )</t>
  </si>
  <si>
    <t>Where (c ) is greater than (d), (e ) = (d), otherwise (e ) = (c )</t>
  </si>
  <si>
    <t>(from Table 1 or 4.2 and 4.3)</t>
  </si>
  <si>
    <r>
      <rPr>
        <b/>
        <sz val="11"/>
        <color indexed="9"/>
        <rFont val="Calibri"/>
        <family val="2"/>
      </rPr>
      <t>Highest capacity to overflow</t>
    </r>
    <r>
      <rPr>
        <sz val="11"/>
        <color indexed="9"/>
        <rFont val="Calibri"/>
        <family val="2"/>
      </rPr>
      <t xml:space="preserve"> (l)                                                 </t>
    </r>
    <r>
      <rPr>
        <b/>
        <sz val="11"/>
        <color indexed="9"/>
        <rFont val="Calibri"/>
        <family val="2"/>
      </rPr>
      <t>(f)</t>
    </r>
  </si>
  <si>
    <r>
      <rPr>
        <b/>
        <sz val="11"/>
        <color indexed="9"/>
        <rFont val="Calibri"/>
        <family val="2"/>
      </rPr>
      <t xml:space="preserve">Proportionate capacity to overflow </t>
    </r>
    <r>
      <rPr>
        <sz val="11"/>
        <color indexed="9"/>
        <rFont val="Calibri"/>
        <family val="2"/>
      </rPr>
      <t xml:space="preserve">(l)                  </t>
    </r>
    <r>
      <rPr>
        <b/>
        <sz val="11"/>
        <color indexed="9"/>
        <rFont val="Calibri"/>
        <family val="2"/>
      </rPr>
      <t>=[(f)*0.7]</t>
    </r>
  </si>
  <si>
    <t>Table 4.1: The greywater demand calculations for new dwellings - WCs</t>
  </si>
  <si>
    <t>Table 4.2: The greywater demand calculations for new dwellings - washing machines</t>
  </si>
  <si>
    <t>Table 4.3: The greywater collection calculations for new dwellings - taps</t>
  </si>
  <si>
    <t>Table 4.4: The greywater collection calculations for new dwellings - showers</t>
  </si>
  <si>
    <t>Table 4.5: The greywater collection calculations for new dwellings - baths</t>
  </si>
  <si>
    <t>Table 4.6: The greywater collection calculations for new dwellings</t>
  </si>
  <si>
    <t>Table 5.1: The rainwater collection consumption calculation for  new dwellings</t>
  </si>
  <si>
    <t>The rainwater collection calculation for new dwellings - BS8515 Intermediate approach</t>
  </si>
  <si>
    <t>Daily rainwater per person (litres)  =[(d)/(e )]=(f)</t>
  </si>
  <si>
    <t>Table 5.2: The rainwater collection consumption calculation for  new dwellings</t>
  </si>
  <si>
    <t>The rainwater collection calculation for new dwellings - BS8515 Detailed approach</t>
  </si>
  <si>
    <t>Daily rainwater collection (litres)</t>
  </si>
  <si>
    <t>Daily rainwater per person (litres)  =[(a)/(b)]=(c )</t>
  </si>
  <si>
    <t>Table 5.3: The rainwater demand calculations for new dwellings - WCs</t>
  </si>
  <si>
    <t>Rainwater for WCs</t>
  </si>
  <si>
    <t>Quantity using rainwater</t>
  </si>
  <si>
    <t>Rainwater demand</t>
  </si>
  <si>
    <t>Total Rainwater demand fittings consumption (f ) = Sum of (d )</t>
  </si>
  <si>
    <t>Average rainwater demand from WCs</t>
  </si>
  <si>
    <t>Table 5.4: The rainwater demand calculations for new dwellings - washing machines</t>
  </si>
  <si>
    <t>Average rainwater demand from washing machines</t>
  </si>
  <si>
    <t>Table 5.5: Rainwater saving calculations for new dwellings</t>
  </si>
  <si>
    <t>Rainwater savings for new dwellings</t>
  </si>
  <si>
    <t>Litres per person per day</t>
  </si>
  <si>
    <t>Rainwater collected (a)</t>
  </si>
  <si>
    <t>Rainwater demand (b)</t>
  </si>
  <si>
    <t>Rainwater savings* (c )=(a)/(b)*(b)</t>
  </si>
  <si>
    <t>* where the amount collected (a) is greater than the demand (b), the rainwater savings (c ) are equal to the demand (b)</t>
  </si>
  <si>
    <r>
      <t>Complete '</t>
    </r>
    <r>
      <rPr>
        <sz val="11"/>
        <color indexed="10"/>
        <rFont val="Calibri"/>
        <family val="2"/>
      </rPr>
      <t>Table 2.1 Taps</t>
    </r>
    <r>
      <rPr>
        <sz val="11"/>
        <color theme="1"/>
        <rFont val="Calibri"/>
        <family val="2"/>
      </rPr>
      <t>'</t>
    </r>
  </si>
  <si>
    <t>If present = 1                If absent = 0</t>
  </si>
  <si>
    <r>
      <t>Complete '</t>
    </r>
    <r>
      <rPr>
        <sz val="11"/>
        <color indexed="10"/>
        <rFont val="Calibri"/>
        <family val="2"/>
      </rPr>
      <t>Table 4.6 Greywater</t>
    </r>
    <r>
      <rPr>
        <sz val="11"/>
        <color theme="1"/>
        <rFont val="Calibri"/>
        <family val="2"/>
      </rPr>
      <t>'</t>
    </r>
  </si>
  <si>
    <r>
      <t>Complete '</t>
    </r>
    <r>
      <rPr>
        <sz val="11"/>
        <color indexed="10"/>
        <rFont val="Calibri"/>
        <family val="2"/>
      </rPr>
      <t>Table 5.5 Rainwater</t>
    </r>
    <r>
      <rPr>
        <sz val="11"/>
        <color theme="1"/>
        <rFont val="Calibri"/>
        <family val="2"/>
      </rPr>
      <t>'</t>
    </r>
  </si>
  <si>
    <t>Contribution from greywater (l/person/day) from Table 4.6</t>
  </si>
  <si>
    <t>Contribution from rainwater (l/person/day) from Table 5.5</t>
  </si>
  <si>
    <t>(Using the method defined by CLG in "The Water Efficiency Calculator for new dwellings" May 2009 and subsequent versions)</t>
  </si>
  <si>
    <r>
      <t>Complete '</t>
    </r>
    <r>
      <rPr>
        <sz val="11"/>
        <color indexed="10"/>
        <rFont val="Calibri"/>
        <family val="2"/>
      </rPr>
      <t>Table 2.7 WCs</t>
    </r>
    <r>
      <rPr>
        <sz val="11"/>
        <color theme="1"/>
        <rFont val="Calibri"/>
        <family val="2"/>
      </rPr>
      <t xml:space="preserve">' </t>
    </r>
  </si>
  <si>
    <r>
      <t>Complete '</t>
    </r>
    <r>
      <rPr>
        <sz val="11"/>
        <color indexed="10"/>
        <rFont val="Calibri"/>
        <family val="2"/>
      </rPr>
      <t>Table 2.2 Baths</t>
    </r>
    <r>
      <rPr>
        <sz val="11"/>
        <color theme="1"/>
        <rFont val="Calibri"/>
        <family val="2"/>
      </rPr>
      <t>'</t>
    </r>
  </si>
  <si>
    <r>
      <t>Complete '</t>
    </r>
    <r>
      <rPr>
        <sz val="11"/>
        <color indexed="10"/>
        <rFont val="Calibri"/>
        <family val="2"/>
      </rPr>
      <t>Table 2.6 Showers</t>
    </r>
    <r>
      <rPr>
        <sz val="11"/>
        <color theme="1"/>
        <rFont val="Calibri"/>
        <family val="2"/>
      </rPr>
      <t>'</t>
    </r>
  </si>
  <si>
    <r>
      <t>Complete '</t>
    </r>
    <r>
      <rPr>
        <sz val="11"/>
        <color indexed="10"/>
        <rFont val="Calibri"/>
        <family val="2"/>
      </rPr>
      <t>Table 2.3 Taps Kitchen</t>
    </r>
    <r>
      <rPr>
        <sz val="11"/>
        <color theme="1"/>
        <rFont val="Calibri"/>
        <family val="2"/>
      </rPr>
      <t>'</t>
    </r>
  </si>
  <si>
    <r>
      <t>Complete '</t>
    </r>
    <r>
      <rPr>
        <sz val="11"/>
        <color indexed="10"/>
        <rFont val="Calibri"/>
        <family val="2"/>
      </rPr>
      <t>Table 2.5 WM</t>
    </r>
    <r>
      <rPr>
        <sz val="11"/>
        <color theme="1"/>
        <rFont val="Calibri"/>
        <family val="2"/>
      </rPr>
      <t>'</t>
    </r>
  </si>
  <si>
    <r>
      <t>Complete '</t>
    </r>
    <r>
      <rPr>
        <sz val="11"/>
        <color indexed="10"/>
        <rFont val="Calibri"/>
        <family val="2"/>
      </rPr>
      <t>Table 2.4 DW</t>
    </r>
    <r>
      <rPr>
        <sz val="11"/>
        <color theme="1"/>
        <rFont val="Calibri"/>
        <family val="2"/>
      </rPr>
      <t>'</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</si>
</sst>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1"/>
      <color indexed="9"/>
      <name val="Calibri"/>
      <family val="2"/>
    </font>
    <font>
      <b/>
      <sz val="11"/>
      <color indexed="8"/>
      <name val="Calibri"/>
      <family val="2"/>
    </font>
    <font>
      <sz val="11"/>
      <color indexed="9"/>
      <name val="Calibri"/>
      <family val="2"/>
    </font>
    <font>
      <sz val="11"/>
      <color indexed="9"/>
      <name val="Symbol"/>
      <family val="1"/>
    </font>
    <font>
      <vertAlign val="superscript"/>
      <sz val="11"/>
      <color indexed="8"/>
      <name val="Calibri"/>
      <family val="2"/>
    </font>
    <font>
      <sz val="11"/>
      <color indexed="10"/>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6"/>
        <bgColor indexed="64"/>
      </patternFill>
    </fill>
    <fill>
      <patternFill patternType="solid">
        <fgColor indexed="50"/>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1" fillId="32" borderId="7" applyNumberFormat="0" applyFont="0" applyAlignment="0" applyProtection="0"/>
    <xf numFmtId="0" fontId="34" fillId="27" borderId="8" applyNumberFormat="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3">
    <xf numFmtId="0" fontId="0" fillId="0" borderId="0" xfId="0" applyFont="1" applyAlignment="1">
      <alignment/>
    </xf>
    <xf numFmtId="0" fontId="3"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3" borderId="10" xfId="0" applyFill="1" applyBorder="1" applyAlignment="1">
      <alignment horizontal="left" vertical="center" wrapText="1"/>
    </xf>
    <xf numFmtId="0" fontId="0" fillId="33" borderId="10" xfId="0" applyFill="1" applyBorder="1" applyAlignment="1">
      <alignment horizontal="center" vertical="center" wrapText="1"/>
    </xf>
    <xf numFmtId="0" fontId="2" fillId="34" borderId="11" xfId="0" applyFont="1" applyFill="1" applyBorder="1" applyAlignment="1">
      <alignment horizontal="center" vertical="center" wrapText="1"/>
    </xf>
    <xf numFmtId="0" fontId="4" fillId="34" borderId="12" xfId="0" applyFont="1" applyFill="1" applyBorder="1" applyAlignment="1" quotePrefix="1">
      <alignment horizontal="center" vertical="center" wrapText="1"/>
    </xf>
    <xf numFmtId="49" fontId="2" fillId="34" borderId="13" xfId="0" applyNumberFormat="1" applyFont="1" applyFill="1" applyBorder="1" applyAlignment="1">
      <alignment horizontal="center" vertical="center" wrapText="1"/>
    </xf>
    <xf numFmtId="0" fontId="4" fillId="34" borderId="12" xfId="0" applyFont="1" applyFill="1" applyBorder="1" applyAlignment="1">
      <alignment horizontal="center" vertical="center" wrapText="1"/>
    </xf>
    <xf numFmtId="0" fontId="2" fillId="34" borderId="11"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2" fillId="34" borderId="11" xfId="0" applyFont="1" applyFill="1" applyBorder="1" applyAlignment="1">
      <alignment vertical="center" wrapText="1"/>
    </xf>
    <xf numFmtId="0" fontId="4" fillId="34" borderId="12" xfId="0" applyFont="1" applyFill="1" applyBorder="1" applyAlignment="1">
      <alignment vertical="center" wrapText="1"/>
    </xf>
    <xf numFmtId="0" fontId="4" fillId="34" borderId="13" xfId="0" applyFont="1" applyFill="1" applyBorder="1" applyAlignment="1">
      <alignment vertical="center" wrapText="1"/>
    </xf>
    <xf numFmtId="0" fontId="0" fillId="33" borderId="10" xfId="0" applyFill="1" applyBorder="1" applyAlignment="1">
      <alignment vertical="center" wrapText="1"/>
    </xf>
    <xf numFmtId="0" fontId="0" fillId="33" borderId="11" xfId="0" applyFill="1" applyBorder="1" applyAlignment="1">
      <alignment vertical="center" wrapText="1"/>
    </xf>
    <xf numFmtId="0" fontId="0" fillId="33" borderId="13" xfId="0" applyFill="1" applyBorder="1" applyAlignment="1">
      <alignment vertical="center" wrapText="1"/>
    </xf>
    <xf numFmtId="0" fontId="3" fillId="33" borderId="10" xfId="0" applyFont="1" applyFill="1" applyBorder="1" applyAlignment="1">
      <alignment vertical="center" wrapText="1"/>
    </xf>
    <xf numFmtId="49" fontId="2" fillId="34"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3" fillId="0" borderId="0" xfId="0" applyFont="1" applyAlignment="1">
      <alignment vertical="center"/>
    </xf>
    <xf numFmtId="2" fontId="0" fillId="0" borderId="10" xfId="0" applyNumberFormat="1" applyBorder="1" applyAlignment="1">
      <alignment horizontal="center" vertical="center" wrapText="1"/>
    </xf>
    <xf numFmtId="2" fontId="3" fillId="0" borderId="10" xfId="0" applyNumberFormat="1" applyFont="1" applyBorder="1" applyAlignment="1">
      <alignment horizontal="center" vertical="center" wrapText="1"/>
    </xf>
    <xf numFmtId="2" fontId="2" fillId="34" borderId="10" xfId="0" applyNumberFormat="1" applyFont="1" applyFill="1" applyBorder="1" applyAlignment="1">
      <alignment horizontal="center" vertical="center" wrapText="1"/>
    </xf>
    <xf numFmtId="0" fontId="3" fillId="0" borderId="0" xfId="0" applyFont="1" applyAlignment="1">
      <alignment horizontal="left" vertical="center"/>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0" fillId="0" borderId="10" xfId="0" applyBorder="1" applyAlignment="1">
      <alignment horizontal="left" vertical="center" wrapText="1"/>
    </xf>
    <xf numFmtId="0" fontId="4" fillId="34" borderId="13"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0" borderId="0" xfId="0" applyAlignment="1">
      <alignment horizontal="center"/>
    </xf>
    <xf numFmtId="0" fontId="0" fillId="0" borderId="0" xfId="0" applyAlignment="1">
      <alignment wrapText="1"/>
    </xf>
    <xf numFmtId="0" fontId="2" fillId="34" borderId="16" xfId="0" applyFont="1" applyFill="1" applyBorder="1" applyAlignment="1">
      <alignment/>
    </xf>
    <xf numFmtId="0" fontId="0" fillId="34" borderId="17" xfId="0" applyFill="1" applyBorder="1" applyAlignment="1">
      <alignment horizontal="center"/>
    </xf>
    <xf numFmtId="0" fontId="0" fillId="34" borderId="18" xfId="0" applyFill="1" applyBorder="1" applyAlignment="1">
      <alignment horizontal="center"/>
    </xf>
    <xf numFmtId="0" fontId="0" fillId="0" borderId="16" xfId="0" applyBorder="1" applyAlignment="1">
      <alignment/>
    </xf>
    <xf numFmtId="49" fontId="0" fillId="0" borderId="17" xfId="0" applyNumberFormat="1" applyBorder="1" applyAlignment="1">
      <alignment horizontal="center"/>
    </xf>
    <xf numFmtId="0" fontId="0" fillId="0" borderId="10" xfId="0" applyBorder="1" applyAlignment="1">
      <alignment horizontal="center"/>
    </xf>
    <xf numFmtId="0" fontId="4" fillId="34" borderId="16" xfId="0" applyFont="1" applyFill="1" applyBorder="1" applyAlignment="1">
      <alignment/>
    </xf>
    <xf numFmtId="49" fontId="4" fillId="34" borderId="17" xfId="0" applyNumberFormat="1" applyFont="1" applyFill="1" applyBorder="1" applyAlignment="1">
      <alignment horizontal="center"/>
    </xf>
    <xf numFmtId="0" fontId="4" fillId="34" borderId="10" xfId="0" applyFont="1" applyFill="1" applyBorder="1" applyAlignment="1">
      <alignment horizontal="center"/>
    </xf>
    <xf numFmtId="0" fontId="2" fillId="34" borderId="17" xfId="0" applyFont="1" applyFill="1" applyBorder="1" applyAlignment="1">
      <alignment horizontal="center"/>
    </xf>
    <xf numFmtId="0" fontId="2" fillId="34" borderId="10" xfId="0" applyFont="1" applyFill="1" applyBorder="1" applyAlignment="1">
      <alignment horizontal="center"/>
    </xf>
    <xf numFmtId="0" fontId="2" fillId="34" borderId="11" xfId="0" applyFont="1" applyFill="1" applyBorder="1" applyAlignment="1">
      <alignment horizontal="center" wrapText="1"/>
    </xf>
    <xf numFmtId="49" fontId="4" fillId="34" borderId="13" xfId="0" applyNumberFormat="1" applyFont="1" applyFill="1" applyBorder="1" applyAlignment="1">
      <alignment horizontal="center"/>
    </xf>
    <xf numFmtId="0" fontId="4" fillId="34" borderId="13" xfId="0" applyFont="1" applyFill="1" applyBorder="1" applyAlignment="1">
      <alignment horizontal="center"/>
    </xf>
    <xf numFmtId="0" fontId="3" fillId="0" borderId="0" xfId="0" applyFont="1" applyAlignment="1">
      <alignment/>
    </xf>
    <xf numFmtId="0" fontId="0" fillId="33" borderId="0" xfId="0" applyFill="1" applyAlignment="1">
      <alignment/>
    </xf>
    <xf numFmtId="0" fontId="0" fillId="33" borderId="0" xfId="0" applyFont="1" applyFill="1" applyAlignment="1">
      <alignment/>
    </xf>
    <xf numFmtId="0" fontId="0" fillId="35" borderId="0" xfId="0" applyFill="1" applyAlignment="1">
      <alignment/>
    </xf>
    <xf numFmtId="0" fontId="3" fillId="33" borderId="0" xfId="0" applyFont="1" applyFill="1" applyAlignment="1">
      <alignment horizontal="left"/>
    </xf>
    <xf numFmtId="0" fontId="0" fillId="33" borderId="0" xfId="0" applyFill="1" applyAlignment="1">
      <alignment horizontal="left"/>
    </xf>
    <xf numFmtId="0" fontId="0" fillId="35" borderId="0" xfId="0" applyFill="1" applyAlignment="1">
      <alignment horizontal="left"/>
    </xf>
    <xf numFmtId="0" fontId="0" fillId="33" borderId="0" xfId="0" applyFill="1" applyAlignment="1">
      <alignment horizontal="center"/>
    </xf>
    <xf numFmtId="0" fontId="0" fillId="33" borderId="0" xfId="0" applyFont="1" applyFill="1" applyAlignment="1">
      <alignment horizontal="center"/>
    </xf>
    <xf numFmtId="0" fontId="0" fillId="36" borderId="10" xfId="0" applyFill="1" applyBorder="1" applyAlignment="1">
      <alignment horizontal="center" vertical="center" wrapText="1"/>
    </xf>
    <xf numFmtId="0" fontId="0" fillId="35" borderId="10" xfId="0" applyFill="1" applyBorder="1" applyAlignment="1">
      <alignment horizontal="left" vertical="center" wrapText="1"/>
    </xf>
    <xf numFmtId="0" fontId="0" fillId="35" borderId="10" xfId="0" applyFill="1" applyBorder="1" applyAlignment="1">
      <alignment horizontal="center" vertical="center" wrapText="1"/>
    </xf>
    <xf numFmtId="2" fontId="0" fillId="0" borderId="10" xfId="0" applyNumberFormat="1" applyFont="1" applyBorder="1" applyAlignment="1">
      <alignment horizontal="center" vertical="center" wrapText="1"/>
    </xf>
    <xf numFmtId="0" fontId="3" fillId="0" borderId="0" xfId="0" applyFont="1" applyAlignment="1">
      <alignment horizontal="left" vertical="center" wrapText="1"/>
    </xf>
    <xf numFmtId="2" fontId="0" fillId="33" borderId="10" xfId="0" applyNumberFormat="1" applyFill="1" applyBorder="1" applyAlignment="1">
      <alignment horizontal="center" vertical="center" wrapText="1"/>
    </xf>
    <xf numFmtId="0" fontId="30" fillId="33" borderId="0" xfId="52" applyFill="1" applyAlignment="1" applyProtection="1">
      <alignment horizontal="left"/>
      <protection/>
    </xf>
    <xf numFmtId="0" fontId="0" fillId="35" borderId="10" xfId="0" applyFill="1" applyBorder="1" applyAlignment="1">
      <alignment horizontal="center"/>
    </xf>
    <xf numFmtId="0" fontId="0" fillId="0" borderId="0" xfId="0" applyAlignment="1">
      <alignment horizontal="left" vertical="center"/>
    </xf>
    <xf numFmtId="49" fontId="0" fillId="0" borderId="0" xfId="0" applyNumberFormat="1" applyAlignment="1">
      <alignment/>
    </xf>
    <xf numFmtId="49" fontId="0" fillId="0" borderId="10" xfId="0" applyNumberFormat="1" applyBorder="1" applyAlignment="1">
      <alignment wrapText="1"/>
    </xf>
    <xf numFmtId="0" fontId="3" fillId="0" borderId="10" xfId="0" applyFont="1" applyBorder="1" applyAlignment="1">
      <alignment/>
    </xf>
    <xf numFmtId="0" fontId="2" fillId="34" borderId="12" xfId="0" applyFont="1" applyFill="1" applyBorder="1" applyAlignment="1">
      <alignment horizontal="center" wrapText="1"/>
    </xf>
    <xf numFmtId="0" fontId="0" fillId="33" borderId="10" xfId="0" applyFill="1" applyBorder="1" applyAlignment="1">
      <alignment horizontal="center"/>
    </xf>
    <xf numFmtId="0" fontId="4" fillId="34" borderId="12" xfId="0" applyFont="1" applyFill="1" applyBorder="1" applyAlignment="1">
      <alignment horizontal="center" wrapText="1"/>
    </xf>
    <xf numFmtId="2" fontId="2" fillId="34" borderId="10" xfId="0" applyNumberFormat="1" applyFont="1" applyFill="1" applyBorder="1" applyAlignment="1">
      <alignment horizontal="center"/>
    </xf>
    <xf numFmtId="0" fontId="0" fillId="0" borderId="0" xfId="0" applyFill="1" applyAlignment="1">
      <alignment/>
    </xf>
    <xf numFmtId="0" fontId="0" fillId="0" borderId="10" xfId="0" applyFill="1" applyBorder="1" applyAlignment="1">
      <alignment horizontal="left"/>
    </xf>
    <xf numFmtId="0" fontId="0" fillId="0" borderId="0" xfId="0" applyFill="1" applyAlignment="1">
      <alignment horizontal="left"/>
    </xf>
    <xf numFmtId="0" fontId="2" fillId="34" borderId="11" xfId="0" applyFont="1" applyFill="1" applyBorder="1" applyAlignment="1">
      <alignment horizontal="left" wrapText="1"/>
    </xf>
    <xf numFmtId="0" fontId="3" fillId="0" borderId="10" xfId="0" applyFont="1" applyBorder="1" applyAlignment="1">
      <alignment horizontal="center"/>
    </xf>
    <xf numFmtId="0" fontId="0" fillId="0" borderId="10" xfId="0" applyFill="1" applyBorder="1" applyAlignment="1">
      <alignment horizontal="center" vertical="center" wrapText="1"/>
    </xf>
    <xf numFmtId="2" fontId="0" fillId="0" borderId="10" xfId="0" applyNumberFormat="1" applyFill="1" applyBorder="1" applyAlignment="1">
      <alignment horizontal="center" vertical="center" wrapText="1"/>
    </xf>
    <xf numFmtId="0" fontId="4" fillId="34" borderId="10" xfId="0" applyFont="1" applyFill="1" applyBorder="1" applyAlignment="1">
      <alignment horizontal="left" vertical="center" wrapText="1"/>
    </xf>
    <xf numFmtId="0" fontId="4" fillId="34" borderId="10" xfId="0" applyFont="1" applyFill="1" applyBorder="1" applyAlignment="1">
      <alignment horizontal="left" vertical="center"/>
    </xf>
    <xf numFmtId="0" fontId="0" fillId="0" borderId="10" xfId="0" applyBorder="1" applyAlignment="1">
      <alignment horizontal="left" vertical="center" wrapText="1"/>
    </xf>
    <xf numFmtId="0" fontId="2" fillId="34" borderId="10" xfId="0" applyFont="1" applyFill="1" applyBorder="1" applyAlignment="1">
      <alignment horizontal="left" vertical="center" wrapText="1"/>
    </xf>
    <xf numFmtId="0" fontId="2" fillId="34" borderId="19" xfId="0" applyFont="1" applyFill="1" applyBorder="1" applyAlignment="1">
      <alignment horizontal="left" vertical="center"/>
    </xf>
    <xf numFmtId="0" fontId="2" fillId="34" borderId="14" xfId="0" applyFont="1" applyFill="1" applyBorder="1" applyAlignment="1">
      <alignment horizontal="left" vertical="center"/>
    </xf>
    <xf numFmtId="0" fontId="4" fillId="34" borderId="10"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10" xfId="0" applyFont="1" applyFill="1" applyBorder="1" applyAlignment="1">
      <alignment horizontal="center" vertical="center" wrapText="1"/>
    </xf>
    <xf numFmtId="0" fontId="2" fillId="34" borderId="16" xfId="0" applyFont="1" applyFill="1" applyBorder="1" applyAlignment="1">
      <alignment horizontal="left" vertical="center" wrapText="1"/>
    </xf>
    <xf numFmtId="0" fontId="2" fillId="34" borderId="18" xfId="0" applyFont="1" applyFill="1" applyBorder="1" applyAlignment="1">
      <alignment horizontal="left" vertical="center" wrapText="1"/>
    </xf>
    <xf numFmtId="0" fontId="2" fillId="34" borderId="17" xfId="0" applyFont="1" applyFill="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7</xdr:row>
      <xdr:rowOff>0</xdr:rowOff>
    </xdr:from>
    <xdr:to>
      <xdr:col>3</xdr:col>
      <xdr:colOff>219075</xdr:colOff>
      <xdr:row>9</xdr:row>
      <xdr:rowOff>161925</xdr:rowOff>
    </xdr:to>
    <xdr:pic>
      <xdr:nvPicPr>
        <xdr:cNvPr id="1" name="Picture 1" descr="Artesia logo colour final small.jpg"/>
        <xdr:cNvPicPr preferRelativeResize="1">
          <a:picLocks noChangeAspect="1"/>
        </xdr:cNvPicPr>
      </xdr:nvPicPr>
      <xdr:blipFill>
        <a:blip r:embed="rId1"/>
        <a:stretch>
          <a:fillRect/>
        </a:stretch>
      </xdr:blipFill>
      <xdr:spPr>
        <a:xfrm>
          <a:off x="3914775" y="1333500"/>
          <a:ext cx="10096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ne.marshallsay@artesia-consulting.co.uk"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0"/>
  <sheetViews>
    <sheetView zoomScalePageLayoutView="0" workbookViewId="0" topLeftCell="A1">
      <selection activeCell="F7" sqref="F7"/>
    </sheetView>
  </sheetViews>
  <sheetFormatPr defaultColWidth="9.140625" defaultRowHeight="15"/>
  <cols>
    <col min="1" max="1" width="3.8515625" style="54" customWidth="1"/>
    <col min="2" max="2" width="54.8515625" style="50" customWidth="1"/>
    <col min="3" max="3" width="11.8515625" style="56" customWidth="1"/>
    <col min="4" max="4" width="44.140625" style="50" customWidth="1"/>
    <col min="5" max="16384" width="9.140625" style="50" customWidth="1"/>
  </cols>
  <sheetData>
    <row r="1" ht="15">
      <c r="A1" s="53" t="s">
        <v>104</v>
      </c>
    </row>
    <row r="2" spans="1:3" s="51" customFormat="1" ht="15">
      <c r="A2" s="54" t="s">
        <v>194</v>
      </c>
      <c r="C2" s="57"/>
    </row>
    <row r="4" ht="15">
      <c r="A4" s="53" t="s">
        <v>103</v>
      </c>
    </row>
    <row r="5" ht="15">
      <c r="A5" s="54" t="s">
        <v>116</v>
      </c>
    </row>
    <row r="6" spans="1:2" ht="15">
      <c r="A6" s="55" t="s">
        <v>105</v>
      </c>
      <c r="B6" s="52"/>
    </row>
    <row r="8" ht="15">
      <c r="A8" s="54" t="s">
        <v>113</v>
      </c>
    </row>
    <row r="9" ht="15">
      <c r="A9" s="54" t="s">
        <v>114</v>
      </c>
    </row>
    <row r="10" ht="15">
      <c r="A10" s="64" t="s">
        <v>115</v>
      </c>
    </row>
  </sheetData>
  <sheetProtection/>
  <hyperlinks>
    <hyperlink ref="A10" r:id="rId1" display="dene.marshallsay@artesia-consulting.co.uk"/>
  </hyperlinks>
  <printOptions/>
  <pageMargins left="0.7" right="0.7" top="0.75" bottom="0.75" header="0.3" footer="0.3"/>
  <pageSetup orientation="portrait" paperSize="9"/>
  <drawing r:id="rId2"/>
</worksheet>
</file>

<file path=xl/worksheets/sheet10.xml><?xml version="1.0" encoding="utf-8"?>
<worksheet xmlns="http://schemas.openxmlformats.org/spreadsheetml/2006/main" xmlns:r="http://schemas.openxmlformats.org/officeDocument/2006/relationships">
  <dimension ref="B1:D16"/>
  <sheetViews>
    <sheetView zoomScalePageLayoutView="0" workbookViewId="0" topLeftCell="B1">
      <selection activeCell="G8" sqref="G8"/>
    </sheetView>
  </sheetViews>
  <sheetFormatPr defaultColWidth="9.140625" defaultRowHeight="15"/>
  <cols>
    <col min="2" max="2" width="55.7109375" style="0" customWidth="1"/>
    <col min="3" max="3" width="6.421875" style="33" customWidth="1"/>
    <col min="4" max="4" width="18.421875" style="33" customWidth="1"/>
  </cols>
  <sheetData>
    <row r="1" ht="15">
      <c r="B1" s="27" t="s">
        <v>96</v>
      </c>
    </row>
    <row r="3" spans="2:4" ht="15">
      <c r="B3" s="35" t="s">
        <v>84</v>
      </c>
      <c r="C3" s="37"/>
      <c r="D3" s="36"/>
    </row>
    <row r="4" spans="2:4" ht="15">
      <c r="B4" s="38" t="s">
        <v>85</v>
      </c>
      <c r="C4" s="39" t="s">
        <v>50</v>
      </c>
      <c r="D4" s="65"/>
    </row>
    <row r="5" spans="2:4" ht="15">
      <c r="B5" s="38" t="s">
        <v>86</v>
      </c>
      <c r="C5" s="39" t="s">
        <v>51</v>
      </c>
      <c r="D5" s="65"/>
    </row>
    <row r="6" spans="2:4" ht="15">
      <c r="B6" s="38" t="s">
        <v>87</v>
      </c>
      <c r="C6" s="39" t="s">
        <v>52</v>
      </c>
      <c r="D6" s="65"/>
    </row>
    <row r="7" spans="2:4" ht="15">
      <c r="B7" s="38" t="s">
        <v>88</v>
      </c>
      <c r="C7" s="39" t="s">
        <v>92</v>
      </c>
      <c r="D7" s="65"/>
    </row>
    <row r="8" spans="2:4" ht="15">
      <c r="B8" s="41" t="s">
        <v>94</v>
      </c>
      <c r="C8" s="42" t="s">
        <v>93</v>
      </c>
      <c r="D8" s="43" t="e">
        <f>IF(((1-(4/D4))*(D5*D6))&gt;0,((1-(4/D4))*(D5*D6)),0)</f>
        <v>#DIV/0!</v>
      </c>
    </row>
    <row r="9" spans="2:4" ht="15">
      <c r="B9" s="35" t="s">
        <v>89</v>
      </c>
      <c r="C9" s="44"/>
      <c r="D9" s="45">
        <f>IF(ISNUMBER(D8),D8/D7,0)</f>
        <v>0</v>
      </c>
    </row>
    <row r="14" ht="90">
      <c r="B14" s="34" t="s">
        <v>90</v>
      </c>
    </row>
    <row r="16" ht="45">
      <c r="B16" s="34" t="s">
        <v>91</v>
      </c>
    </row>
  </sheetData>
  <sheetProtection/>
  <printOptions/>
  <pageMargins left="0.7" right="0.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B1:E13"/>
  <sheetViews>
    <sheetView zoomScalePageLayoutView="0" workbookViewId="0" topLeftCell="B1">
      <selection activeCell="B2" sqref="B2"/>
    </sheetView>
  </sheetViews>
  <sheetFormatPr defaultColWidth="9.140625" defaultRowHeight="15"/>
  <cols>
    <col min="2" max="4" width="27.140625" style="0" customWidth="1"/>
    <col min="5" max="5" width="17.8515625" style="0" customWidth="1"/>
  </cols>
  <sheetData>
    <row r="1" ht="15">
      <c r="B1" s="49" t="s">
        <v>160</v>
      </c>
    </row>
    <row r="3" ht="15">
      <c r="B3" t="s">
        <v>126</v>
      </c>
    </row>
    <row r="4" spans="2:5" ht="30">
      <c r="B4" s="46" t="s">
        <v>127</v>
      </c>
      <c r="C4" s="46" t="s">
        <v>128</v>
      </c>
      <c r="D4" s="46" t="s">
        <v>129</v>
      </c>
      <c r="E4" s="46" t="s">
        <v>130</v>
      </c>
    </row>
    <row r="5" spans="2:5" ht="15">
      <c r="B5" s="47" t="s">
        <v>50</v>
      </c>
      <c r="C5" s="48" t="s">
        <v>51</v>
      </c>
      <c r="D5" s="48" t="s">
        <v>52</v>
      </c>
      <c r="E5" s="48" t="s">
        <v>131</v>
      </c>
    </row>
    <row r="6" spans="2:5" ht="15">
      <c r="B6" s="65"/>
      <c r="C6" s="65"/>
      <c r="D6" s="65"/>
      <c r="E6" s="40">
        <f>B6*D6</f>
        <v>0</v>
      </c>
    </row>
    <row r="7" spans="2:5" ht="15">
      <c r="B7" s="65"/>
      <c r="C7" s="65"/>
      <c r="D7" s="65"/>
      <c r="E7" s="40">
        <f>B7*D7</f>
        <v>0</v>
      </c>
    </row>
    <row r="8" spans="2:5" ht="15">
      <c r="B8" s="65"/>
      <c r="C8" s="65"/>
      <c r="D8" s="65"/>
      <c r="E8" s="40">
        <f>B8*D8</f>
        <v>0</v>
      </c>
    </row>
    <row r="9" spans="2:5" ht="15">
      <c r="B9" s="65"/>
      <c r="C9" s="65"/>
      <c r="D9" s="65"/>
      <c r="E9" s="40">
        <f>B9*D9</f>
        <v>0</v>
      </c>
    </row>
    <row r="10" spans="2:5" ht="15">
      <c r="B10" s="65"/>
      <c r="C10" s="65"/>
      <c r="D10" s="65"/>
      <c r="E10" s="40">
        <f>B10*D10</f>
        <v>0</v>
      </c>
    </row>
    <row r="11" spans="2:5" ht="45">
      <c r="B11" s="68" t="s">
        <v>133</v>
      </c>
      <c r="C11" s="40">
        <f>SUM(C6:C10)</f>
        <v>0</v>
      </c>
      <c r="D11" s="68" t="s">
        <v>132</v>
      </c>
      <c r="E11" s="40">
        <f>SUM(E6:E10)</f>
        <v>0</v>
      </c>
    </row>
    <row r="12" spans="2:5" ht="15" customHeight="1">
      <c r="B12" s="90" t="s">
        <v>134</v>
      </c>
      <c r="C12" s="91"/>
      <c r="D12" s="92"/>
      <c r="E12" s="69" t="e">
        <f>IF((($E$11/$C$11)*4.42)&gt;0,(($E$11/$C$11)*4.42),0)</f>
        <v>#DIV/0!</v>
      </c>
    </row>
    <row r="13" ht="15">
      <c r="B13" s="67"/>
    </row>
  </sheetData>
  <sheetProtection/>
  <mergeCells count="1">
    <mergeCell ref="B12:D1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1:E13"/>
  <sheetViews>
    <sheetView zoomScalePageLayoutView="0" workbookViewId="0" topLeftCell="B1">
      <selection activeCell="B2" sqref="B2"/>
    </sheetView>
  </sheetViews>
  <sheetFormatPr defaultColWidth="9.140625" defaultRowHeight="15"/>
  <cols>
    <col min="2" max="4" width="27.140625" style="0" customWidth="1"/>
    <col min="5" max="5" width="17.8515625" style="0" customWidth="1"/>
  </cols>
  <sheetData>
    <row r="1" ht="15">
      <c r="B1" s="49" t="s">
        <v>161</v>
      </c>
    </row>
    <row r="3" ht="15">
      <c r="B3" t="s">
        <v>135</v>
      </c>
    </row>
    <row r="4" spans="2:5" ht="30">
      <c r="B4" s="46" t="s">
        <v>136</v>
      </c>
      <c r="C4" s="46" t="s">
        <v>128</v>
      </c>
      <c r="D4" s="46" t="s">
        <v>129</v>
      </c>
      <c r="E4" s="46" t="s">
        <v>130</v>
      </c>
    </row>
    <row r="5" spans="2:5" ht="15">
      <c r="B5" s="47" t="s">
        <v>50</v>
      </c>
      <c r="C5" s="48" t="s">
        <v>51</v>
      </c>
      <c r="D5" s="48" t="s">
        <v>52</v>
      </c>
      <c r="E5" s="48" t="s">
        <v>131</v>
      </c>
    </row>
    <row r="6" spans="2:5" ht="15">
      <c r="B6" s="65"/>
      <c r="C6" s="65"/>
      <c r="D6" s="65"/>
      <c r="E6" s="40">
        <f>B6*D6</f>
        <v>0</v>
      </c>
    </row>
    <row r="7" spans="2:5" ht="15">
      <c r="B7" s="65"/>
      <c r="C7" s="65"/>
      <c r="D7" s="65"/>
      <c r="E7" s="40">
        <f>B7*D7</f>
        <v>0</v>
      </c>
    </row>
    <row r="8" spans="2:5" ht="15">
      <c r="B8" s="65"/>
      <c r="C8" s="65"/>
      <c r="D8" s="65"/>
      <c r="E8" s="40">
        <f>B8*D8</f>
        <v>0</v>
      </c>
    </row>
    <row r="9" spans="2:5" ht="15">
      <c r="B9" s="65"/>
      <c r="C9" s="65"/>
      <c r="D9" s="65"/>
      <c r="E9" s="40">
        <f>B9*D9</f>
        <v>0</v>
      </c>
    </row>
    <row r="10" spans="2:5" ht="15">
      <c r="B10" s="65"/>
      <c r="C10" s="65"/>
      <c r="D10" s="65"/>
      <c r="E10" s="40">
        <f>B10*D10</f>
        <v>0</v>
      </c>
    </row>
    <row r="11" spans="2:5" ht="45">
      <c r="B11" s="68" t="s">
        <v>133</v>
      </c>
      <c r="C11" s="40">
        <f>SUM(C6:C10)</f>
        <v>0</v>
      </c>
      <c r="D11" s="68" t="s">
        <v>132</v>
      </c>
      <c r="E11" s="40">
        <f>SUM(E6:E10)</f>
        <v>0</v>
      </c>
    </row>
    <row r="12" spans="2:5" ht="15" customHeight="1">
      <c r="B12" s="90" t="s">
        <v>137</v>
      </c>
      <c r="C12" s="91"/>
      <c r="D12" s="92"/>
      <c r="E12" s="69" t="e">
        <f>IF((($E$11/$C$11)*2.1)&gt;0,(($E$11/$C$11)*2.1),0)</f>
        <v>#DIV/0!</v>
      </c>
    </row>
    <row r="13" ht="15">
      <c r="B13" s="67"/>
    </row>
  </sheetData>
  <sheetProtection/>
  <mergeCells count="1">
    <mergeCell ref="B12:D1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E13"/>
  <sheetViews>
    <sheetView zoomScalePageLayoutView="0" workbookViewId="0" topLeftCell="B1">
      <selection activeCell="B2" sqref="B2"/>
    </sheetView>
  </sheetViews>
  <sheetFormatPr defaultColWidth="9.140625" defaultRowHeight="15"/>
  <cols>
    <col min="2" max="4" width="27.140625" style="0" customWidth="1"/>
    <col min="5" max="5" width="17.8515625" style="0" customWidth="1"/>
  </cols>
  <sheetData>
    <row r="1" ht="15">
      <c r="B1" s="49" t="s">
        <v>162</v>
      </c>
    </row>
    <row r="3" ht="15">
      <c r="B3" t="s">
        <v>138</v>
      </c>
    </row>
    <row r="4" spans="2:5" ht="15">
      <c r="B4" s="46" t="s">
        <v>139</v>
      </c>
      <c r="C4" s="46" t="s">
        <v>128</v>
      </c>
      <c r="D4" s="46" t="s">
        <v>129</v>
      </c>
      <c r="E4" s="46" t="s">
        <v>146</v>
      </c>
    </row>
    <row r="5" spans="2:5" ht="15">
      <c r="B5" s="47" t="s">
        <v>50</v>
      </c>
      <c r="C5" s="48" t="s">
        <v>51</v>
      </c>
      <c r="D5" s="48" t="s">
        <v>52</v>
      </c>
      <c r="E5" s="48" t="s">
        <v>131</v>
      </c>
    </row>
    <row r="6" spans="2:5" ht="15">
      <c r="B6" s="65"/>
      <c r="C6" s="65"/>
      <c r="D6" s="65"/>
      <c r="E6" s="40">
        <f>B6*D6</f>
        <v>0</v>
      </c>
    </row>
    <row r="7" spans="2:5" ht="15">
      <c r="B7" s="65"/>
      <c r="C7" s="65"/>
      <c r="D7" s="65"/>
      <c r="E7" s="40">
        <f>B7*D7</f>
        <v>0</v>
      </c>
    </row>
    <row r="8" spans="2:5" ht="15">
      <c r="B8" s="65"/>
      <c r="C8" s="65"/>
      <c r="D8" s="65"/>
      <c r="E8" s="40">
        <f>B8*D8</f>
        <v>0</v>
      </c>
    </row>
    <row r="9" spans="2:5" ht="15">
      <c r="B9" s="65"/>
      <c r="C9" s="65"/>
      <c r="D9" s="65"/>
      <c r="E9" s="40">
        <f>B9*D9</f>
        <v>0</v>
      </c>
    </row>
    <row r="10" spans="2:5" ht="15">
      <c r="B10" s="65"/>
      <c r="C10" s="65"/>
      <c r="D10" s="65"/>
      <c r="E10" s="40">
        <f>B10*D10</f>
        <v>0</v>
      </c>
    </row>
    <row r="11" spans="2:5" ht="30">
      <c r="B11" s="68" t="s">
        <v>133</v>
      </c>
      <c r="C11" s="40">
        <f>SUM(C6:C10)</f>
        <v>0</v>
      </c>
      <c r="D11" s="68" t="s">
        <v>140</v>
      </c>
      <c r="E11" s="40">
        <f>SUM(E6:E10)</f>
        <v>0</v>
      </c>
    </row>
    <row r="12" spans="2:5" ht="15" customHeight="1">
      <c r="B12" s="90" t="s">
        <v>144</v>
      </c>
      <c r="C12" s="91"/>
      <c r="D12" s="92"/>
      <c r="E12" s="69" t="e">
        <f>IF((($E$11/$C$11)*1.58+1.58)&gt;0,(($E$11/$C$11)*1.58+1.58),0)</f>
        <v>#DIV/0!</v>
      </c>
    </row>
    <row r="13" ht="15">
      <c r="B13" s="67"/>
    </row>
  </sheetData>
  <sheetProtection/>
  <mergeCells count="1">
    <mergeCell ref="B12:D1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E13"/>
  <sheetViews>
    <sheetView zoomScalePageLayoutView="0" workbookViewId="0" topLeftCell="B1">
      <selection activeCell="B2" sqref="B2"/>
    </sheetView>
  </sheetViews>
  <sheetFormatPr defaultColWidth="9.140625" defaultRowHeight="15"/>
  <cols>
    <col min="2" max="4" width="27.140625" style="0" customWidth="1"/>
    <col min="5" max="5" width="17.8515625" style="0" customWidth="1"/>
  </cols>
  <sheetData>
    <row r="1" ht="15">
      <c r="B1" s="49" t="s">
        <v>163</v>
      </c>
    </row>
    <row r="3" ht="15">
      <c r="B3" t="s">
        <v>141</v>
      </c>
    </row>
    <row r="4" spans="2:5" ht="15">
      <c r="B4" s="46" t="s">
        <v>139</v>
      </c>
      <c r="C4" s="46" t="s">
        <v>128</v>
      </c>
      <c r="D4" s="46" t="s">
        <v>129</v>
      </c>
      <c r="E4" s="46" t="s">
        <v>146</v>
      </c>
    </row>
    <row r="5" spans="2:5" ht="15">
      <c r="B5" s="47" t="s">
        <v>50</v>
      </c>
      <c r="C5" s="48" t="s">
        <v>51</v>
      </c>
      <c r="D5" s="48" t="s">
        <v>52</v>
      </c>
      <c r="E5" s="48" t="s">
        <v>131</v>
      </c>
    </row>
    <row r="6" spans="2:5" ht="15">
      <c r="B6" s="65"/>
      <c r="C6" s="65"/>
      <c r="D6" s="65"/>
      <c r="E6" s="40">
        <f>B6*D6</f>
        <v>0</v>
      </c>
    </row>
    <row r="7" spans="2:5" ht="15">
      <c r="B7" s="65"/>
      <c r="C7" s="65"/>
      <c r="D7" s="65"/>
      <c r="E7" s="40">
        <f>B7*D7</f>
        <v>0</v>
      </c>
    </row>
    <row r="8" spans="2:5" ht="15">
      <c r="B8" s="65"/>
      <c r="C8" s="65"/>
      <c r="D8" s="65"/>
      <c r="E8" s="40">
        <f>B8*D8</f>
        <v>0</v>
      </c>
    </row>
    <row r="9" spans="2:5" ht="15">
      <c r="B9" s="65"/>
      <c r="C9" s="65"/>
      <c r="D9" s="65"/>
      <c r="E9" s="40">
        <f>B9*D9</f>
        <v>0</v>
      </c>
    </row>
    <row r="10" spans="2:5" ht="15">
      <c r="B10" s="65"/>
      <c r="C10" s="65"/>
      <c r="D10" s="65"/>
      <c r="E10" s="40">
        <f>B10*D10</f>
        <v>0</v>
      </c>
    </row>
    <row r="11" spans="2:5" ht="30">
      <c r="B11" s="68" t="s">
        <v>133</v>
      </c>
      <c r="C11" s="40">
        <f>SUM(C6:C10)</f>
        <v>0</v>
      </c>
      <c r="D11" s="68" t="s">
        <v>140</v>
      </c>
      <c r="E11" s="40">
        <f>SUM(E6:E10)</f>
        <v>0</v>
      </c>
    </row>
    <row r="12" spans="2:5" ht="15" customHeight="1">
      <c r="B12" s="90" t="s">
        <v>142</v>
      </c>
      <c r="C12" s="91"/>
      <c r="D12" s="92"/>
      <c r="E12" s="69" t="e">
        <f>IF((($E$11/$C$11)*4.37)&gt;0,(($E$11/$C$11)*4.37),0)</f>
        <v>#DIV/0!</v>
      </c>
    </row>
    <row r="13" spans="2:5" ht="15" customHeight="1">
      <c r="B13" s="90" t="s">
        <v>143</v>
      </c>
      <c r="C13" s="91"/>
      <c r="D13" s="92"/>
      <c r="E13" s="69" t="e">
        <f>IF((($E$11/$C$11)*5.6)&gt;0,(($E$11/$C$11)*5.6),0)</f>
        <v>#DIV/0!</v>
      </c>
    </row>
  </sheetData>
  <sheetProtection/>
  <mergeCells count="2">
    <mergeCell ref="B12:D12"/>
    <mergeCell ref="B13:D1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E13"/>
  <sheetViews>
    <sheetView zoomScalePageLayoutView="0" workbookViewId="0" topLeftCell="B1">
      <selection activeCell="B2" sqref="B2"/>
    </sheetView>
  </sheetViews>
  <sheetFormatPr defaultColWidth="9.140625" defaultRowHeight="15"/>
  <cols>
    <col min="2" max="4" width="27.140625" style="0" customWidth="1"/>
    <col min="5" max="5" width="17.8515625" style="0" customWidth="1"/>
  </cols>
  <sheetData>
    <row r="1" ht="15">
      <c r="B1" s="49" t="s">
        <v>164</v>
      </c>
    </row>
    <row r="3" ht="15">
      <c r="B3" t="s">
        <v>145</v>
      </c>
    </row>
    <row r="4" spans="2:5" ht="15">
      <c r="B4" s="46" t="s">
        <v>139</v>
      </c>
      <c r="C4" s="46" t="s">
        <v>128</v>
      </c>
      <c r="D4" s="46" t="s">
        <v>129</v>
      </c>
      <c r="E4" s="46" t="s">
        <v>146</v>
      </c>
    </row>
    <row r="5" spans="2:5" ht="15">
      <c r="B5" s="47" t="s">
        <v>50</v>
      </c>
      <c r="C5" s="48" t="s">
        <v>51</v>
      </c>
      <c r="D5" s="48" t="s">
        <v>52</v>
      </c>
      <c r="E5" s="48" t="s">
        <v>131</v>
      </c>
    </row>
    <row r="6" spans="2:5" ht="15">
      <c r="B6" s="65"/>
      <c r="C6" s="65"/>
      <c r="D6" s="65"/>
      <c r="E6" s="40">
        <f>B6*D6</f>
        <v>0</v>
      </c>
    </row>
    <row r="7" spans="2:5" ht="15">
      <c r="B7" s="65"/>
      <c r="C7" s="65"/>
      <c r="D7" s="65"/>
      <c r="E7" s="40">
        <f>B7*D7</f>
        <v>0</v>
      </c>
    </row>
    <row r="8" spans="2:5" ht="15">
      <c r="B8" s="65"/>
      <c r="C8" s="65"/>
      <c r="D8" s="65"/>
      <c r="E8" s="40">
        <f>B8*D8</f>
        <v>0</v>
      </c>
    </row>
    <row r="9" spans="2:5" ht="15">
      <c r="B9" s="65"/>
      <c r="C9" s="65"/>
      <c r="D9" s="65"/>
      <c r="E9" s="40">
        <f>B9*D9</f>
        <v>0</v>
      </c>
    </row>
    <row r="10" spans="2:5" ht="15">
      <c r="B10" s="65"/>
      <c r="C10" s="65"/>
      <c r="D10" s="65"/>
      <c r="E10" s="40">
        <f>B10*D10</f>
        <v>0</v>
      </c>
    </row>
    <row r="11" spans="2:5" ht="30">
      <c r="B11" s="68" t="s">
        <v>133</v>
      </c>
      <c r="C11" s="40">
        <f>SUM(C6:C10)</f>
        <v>0</v>
      </c>
      <c r="D11" s="68" t="s">
        <v>140</v>
      </c>
      <c r="E11" s="40">
        <f>SUM(E6:E10)</f>
        <v>0</v>
      </c>
    </row>
    <row r="12" spans="2:5" ht="15" customHeight="1">
      <c r="B12" s="90" t="s">
        <v>147</v>
      </c>
      <c r="C12" s="91"/>
      <c r="D12" s="92"/>
      <c r="E12" s="69" t="e">
        <f>IF((($E$11/$C$11)*0.11)&gt;0,(($E$11/$C$11)*0.11),0)</f>
        <v>#DIV/0!</v>
      </c>
    </row>
    <row r="13" spans="2:5" ht="15" customHeight="1">
      <c r="B13" s="90" t="s">
        <v>148</v>
      </c>
      <c r="C13" s="91"/>
      <c r="D13" s="92"/>
      <c r="E13" s="69" t="e">
        <f>IF((($E$11/$C$11)*0.5)&gt;0,(($E$11/$C$11)*0.5),0)</f>
        <v>#DIV/0!</v>
      </c>
    </row>
  </sheetData>
  <sheetProtection/>
  <mergeCells count="2">
    <mergeCell ref="B12:D12"/>
    <mergeCell ref="B13:D1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F7"/>
  <sheetViews>
    <sheetView zoomScalePageLayoutView="0" workbookViewId="0" topLeftCell="B1">
      <selection activeCell="B2" sqref="B2"/>
    </sheetView>
  </sheetViews>
  <sheetFormatPr defaultColWidth="9.140625" defaultRowHeight="15"/>
  <cols>
    <col min="2" max="5" width="27.140625" style="0" customWidth="1"/>
    <col min="6" max="6" width="20.28125" style="0" customWidth="1"/>
  </cols>
  <sheetData>
    <row r="1" ht="15">
      <c r="B1" s="49" t="s">
        <v>165</v>
      </c>
    </row>
    <row r="3" ht="15">
      <c r="B3" t="s">
        <v>149</v>
      </c>
    </row>
    <row r="4" spans="2:6" ht="45">
      <c r="B4" s="46" t="s">
        <v>150</v>
      </c>
      <c r="C4" s="46" t="s">
        <v>95</v>
      </c>
      <c r="D4" s="46" t="s">
        <v>151</v>
      </c>
      <c r="E4" s="46" t="s">
        <v>153</v>
      </c>
      <c r="F4" s="46" t="s">
        <v>154</v>
      </c>
    </row>
    <row r="5" spans="2:6" ht="45">
      <c r="B5" s="70"/>
      <c r="C5" s="70"/>
      <c r="D5" s="70" t="s">
        <v>152</v>
      </c>
      <c r="E5" s="72" t="s">
        <v>157</v>
      </c>
      <c r="F5" s="72" t="s">
        <v>156</v>
      </c>
    </row>
    <row r="6" spans="2:6" ht="15">
      <c r="B6" s="47" t="s">
        <v>50</v>
      </c>
      <c r="C6" s="48" t="s">
        <v>51</v>
      </c>
      <c r="D6" s="48" t="s">
        <v>52</v>
      </c>
      <c r="E6" s="48" t="s">
        <v>92</v>
      </c>
      <c r="F6" s="48" t="s">
        <v>155</v>
      </c>
    </row>
    <row r="7" spans="2:6" ht="15">
      <c r="B7" s="65"/>
      <c r="C7" s="65"/>
      <c r="D7" s="71">
        <f>B7*(C7/100)</f>
        <v>0</v>
      </c>
      <c r="E7" s="65"/>
      <c r="F7" s="40">
        <f>IF(D7&gt;E7,E7,D7)</f>
        <v>0</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D13"/>
  <sheetViews>
    <sheetView zoomScalePageLayoutView="0" workbookViewId="0" topLeftCell="A1">
      <selection activeCell="I18" sqref="I18"/>
    </sheetView>
  </sheetViews>
  <sheetFormatPr defaultColWidth="9.140625" defaultRowHeight="15"/>
  <cols>
    <col min="2" max="2" width="55.7109375" style="0" customWidth="1"/>
    <col min="3" max="3" width="6.421875" style="33" customWidth="1"/>
    <col min="4" max="4" width="18.421875" style="33" customWidth="1"/>
  </cols>
  <sheetData>
    <row r="1" ht="15">
      <c r="B1" s="27" t="s">
        <v>166</v>
      </c>
    </row>
    <row r="3" spans="2:4" ht="15">
      <c r="B3" s="35" t="s">
        <v>167</v>
      </c>
      <c r="C3" s="37"/>
      <c r="D3" s="36"/>
    </row>
    <row r="4" spans="2:4" ht="17.25">
      <c r="B4" s="38" t="s">
        <v>97</v>
      </c>
      <c r="C4" s="39" t="s">
        <v>50</v>
      </c>
      <c r="D4" s="65"/>
    </row>
    <row r="5" spans="2:4" ht="15">
      <c r="B5" s="38" t="s">
        <v>98</v>
      </c>
      <c r="C5" s="39" t="s">
        <v>51</v>
      </c>
      <c r="D5" s="65"/>
    </row>
    <row r="6" spans="2:4" ht="15">
      <c r="B6" s="38" t="s">
        <v>99</v>
      </c>
      <c r="C6" s="39" t="s">
        <v>52</v>
      </c>
      <c r="D6" s="65"/>
    </row>
    <row r="7" spans="2:4" ht="15">
      <c r="B7" s="38" t="s">
        <v>100</v>
      </c>
      <c r="C7" s="39" t="s">
        <v>92</v>
      </c>
      <c r="D7" s="40">
        <f>(D4*D5*D6)/365</f>
        <v>0</v>
      </c>
    </row>
    <row r="8" spans="2:4" ht="15">
      <c r="B8" s="38" t="s">
        <v>101</v>
      </c>
      <c r="C8" s="39" t="s">
        <v>93</v>
      </c>
      <c r="D8" s="65"/>
    </row>
    <row r="9" spans="2:4" ht="15">
      <c r="B9" s="35" t="s">
        <v>168</v>
      </c>
      <c r="C9" s="44"/>
      <c r="D9" s="45" t="e">
        <f>D7/D8</f>
        <v>#DIV/0!</v>
      </c>
    </row>
    <row r="13" ht="45">
      <c r="B13" s="34" t="s">
        <v>102</v>
      </c>
    </row>
  </sheetData>
  <sheetProtection/>
  <printOptions/>
  <pageMargins left="0.7" right="0.7" top="0.75" bottom="0.75" header="0.3" footer="0.3"/>
  <pageSetup orientation="portrait" paperSize="9" r:id="rId1"/>
</worksheet>
</file>

<file path=xl/worksheets/sheet18.xml><?xml version="1.0" encoding="utf-8"?>
<worksheet xmlns="http://schemas.openxmlformats.org/spreadsheetml/2006/main" xmlns:r="http://schemas.openxmlformats.org/officeDocument/2006/relationships">
  <dimension ref="B1:D10"/>
  <sheetViews>
    <sheetView zoomScalePageLayoutView="0" workbookViewId="0" topLeftCell="A1">
      <selection activeCell="F7" sqref="F7"/>
    </sheetView>
  </sheetViews>
  <sheetFormatPr defaultColWidth="9.140625" defaultRowHeight="15"/>
  <cols>
    <col min="2" max="2" width="55.7109375" style="0" customWidth="1"/>
    <col min="3" max="3" width="6.421875" style="33" customWidth="1"/>
    <col min="4" max="4" width="18.421875" style="33" customWidth="1"/>
  </cols>
  <sheetData>
    <row r="1" ht="15">
      <c r="B1" s="27" t="s">
        <v>169</v>
      </c>
    </row>
    <row r="3" spans="2:4" ht="15">
      <c r="B3" s="35" t="s">
        <v>170</v>
      </c>
      <c r="C3" s="37"/>
      <c r="D3" s="36"/>
    </row>
    <row r="4" spans="2:4" ht="15">
      <c r="B4" s="38" t="s">
        <v>171</v>
      </c>
      <c r="C4" s="39" t="s">
        <v>50</v>
      </c>
      <c r="D4" s="65"/>
    </row>
    <row r="5" spans="2:4" ht="15">
      <c r="B5" s="38" t="s">
        <v>101</v>
      </c>
      <c r="C5" s="39" t="s">
        <v>51</v>
      </c>
      <c r="D5" s="65"/>
    </row>
    <row r="6" spans="2:4" ht="15">
      <c r="B6" s="35" t="s">
        <v>172</v>
      </c>
      <c r="C6" s="44"/>
      <c r="D6" s="73" t="e">
        <f>D4/D5</f>
        <v>#DIV/0!</v>
      </c>
    </row>
    <row r="10" ht="45">
      <c r="B10" s="34" t="s">
        <v>102</v>
      </c>
    </row>
  </sheetData>
  <sheetProtection/>
  <printOptions/>
  <pageMargins left="0.7" right="0.7" top="0.75" bottom="0.75" header="0.3" footer="0.3"/>
  <pageSetup orientation="portrait" paperSize="9" r:id="rId1"/>
</worksheet>
</file>

<file path=xl/worksheets/sheet19.xml><?xml version="1.0" encoding="utf-8"?>
<worksheet xmlns="http://schemas.openxmlformats.org/spreadsheetml/2006/main" xmlns:r="http://schemas.openxmlformats.org/officeDocument/2006/relationships">
  <dimension ref="B1:E13"/>
  <sheetViews>
    <sheetView zoomScalePageLayoutView="0" workbookViewId="0" topLeftCell="B1">
      <selection activeCell="B13" sqref="B13"/>
    </sheetView>
  </sheetViews>
  <sheetFormatPr defaultColWidth="9.140625" defaultRowHeight="15"/>
  <cols>
    <col min="2" max="4" width="27.140625" style="0" customWidth="1"/>
    <col min="5" max="5" width="17.8515625" style="0" customWidth="1"/>
  </cols>
  <sheetData>
    <row r="1" ht="15">
      <c r="B1" s="49" t="s">
        <v>173</v>
      </c>
    </row>
    <row r="3" ht="15">
      <c r="B3" t="s">
        <v>174</v>
      </c>
    </row>
    <row r="4" spans="2:5" ht="30">
      <c r="B4" s="46" t="s">
        <v>127</v>
      </c>
      <c r="C4" s="46" t="s">
        <v>128</v>
      </c>
      <c r="D4" s="46" t="s">
        <v>175</v>
      </c>
      <c r="E4" s="46" t="s">
        <v>176</v>
      </c>
    </row>
    <row r="5" spans="2:5" ht="15">
      <c r="B5" s="47" t="s">
        <v>50</v>
      </c>
      <c r="C5" s="48" t="s">
        <v>51</v>
      </c>
      <c r="D5" s="48" t="s">
        <v>52</v>
      </c>
      <c r="E5" s="48" t="s">
        <v>131</v>
      </c>
    </row>
    <row r="6" spans="2:5" ht="15">
      <c r="B6" s="65"/>
      <c r="C6" s="65"/>
      <c r="D6" s="65"/>
      <c r="E6" s="40">
        <f>B6*D6</f>
        <v>0</v>
      </c>
    </row>
    <row r="7" spans="2:5" ht="15">
      <c r="B7" s="65"/>
      <c r="C7" s="65"/>
      <c r="D7" s="65"/>
      <c r="E7" s="40">
        <f>B7*D7</f>
        <v>0</v>
      </c>
    </row>
    <row r="8" spans="2:5" ht="15">
      <c r="B8" s="65"/>
      <c r="C8" s="65"/>
      <c r="D8" s="65"/>
      <c r="E8" s="40">
        <f>B8*D8</f>
        <v>0</v>
      </c>
    </row>
    <row r="9" spans="2:5" ht="15">
      <c r="B9" s="65"/>
      <c r="C9" s="65"/>
      <c r="D9" s="65"/>
      <c r="E9" s="40">
        <f>B9*D9</f>
        <v>0</v>
      </c>
    </row>
    <row r="10" spans="2:5" ht="15">
      <c r="B10" s="65"/>
      <c r="C10" s="65"/>
      <c r="D10" s="65"/>
      <c r="E10" s="40">
        <f>B10*D10</f>
        <v>0</v>
      </c>
    </row>
    <row r="11" spans="2:5" ht="45">
      <c r="B11" s="68" t="s">
        <v>133</v>
      </c>
      <c r="C11" s="40">
        <f>SUM(C6:C10)</f>
        <v>0</v>
      </c>
      <c r="D11" s="68" t="s">
        <v>177</v>
      </c>
      <c r="E11" s="40">
        <f>SUM(E6:E10)</f>
        <v>0</v>
      </c>
    </row>
    <row r="12" spans="2:5" ht="15" customHeight="1">
      <c r="B12" s="90" t="s">
        <v>178</v>
      </c>
      <c r="C12" s="91"/>
      <c r="D12" s="92"/>
      <c r="E12" s="69" t="e">
        <f>IF((($E$11/$C$11)*4.42)&gt;0,(($E$11/$C$11)*4.42),0)</f>
        <v>#DIV/0!</v>
      </c>
    </row>
    <row r="13" ht="15">
      <c r="B13" s="67"/>
    </row>
  </sheetData>
  <sheetProtection/>
  <mergeCells count="1">
    <mergeCell ref="B12:D1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I26"/>
  <sheetViews>
    <sheetView tabSelected="1" zoomScale="85" zoomScaleNormal="85" zoomScalePageLayoutView="0" workbookViewId="0" topLeftCell="A1">
      <selection activeCell="J10" sqref="J10"/>
    </sheetView>
  </sheetViews>
  <sheetFormatPr defaultColWidth="9.140625" defaultRowHeight="15"/>
  <cols>
    <col min="1" max="1" width="2.28125" style="2" customWidth="1"/>
    <col min="2" max="2" width="31.7109375" style="2" bestFit="1" customWidth="1"/>
    <col min="3" max="3" width="21.8515625" style="3" customWidth="1"/>
    <col min="4" max="7" width="18.421875" style="4" customWidth="1"/>
    <col min="8" max="8" width="3.57421875" style="2" customWidth="1"/>
    <col min="9" max="9" width="42.57421875" style="2" customWidth="1"/>
    <col min="10" max="16384" width="9.140625" style="2" customWidth="1"/>
  </cols>
  <sheetData>
    <row r="1" ht="15">
      <c r="B1" s="23" t="s">
        <v>106</v>
      </c>
    </row>
    <row r="3" spans="2:9" s="1" customFormat="1" ht="30">
      <c r="B3" s="14" t="s">
        <v>0</v>
      </c>
      <c r="C3" s="11" t="s">
        <v>1</v>
      </c>
      <c r="D3" s="7" t="s">
        <v>2</v>
      </c>
      <c r="E3" s="7" t="s">
        <v>3</v>
      </c>
      <c r="F3" s="7" t="s">
        <v>4</v>
      </c>
      <c r="G3" s="7" t="s">
        <v>5</v>
      </c>
      <c r="I3" s="1" t="s">
        <v>110</v>
      </c>
    </row>
    <row r="4" spans="2:7" ht="15">
      <c r="B4" s="15"/>
      <c r="C4" s="12"/>
      <c r="D4" s="10"/>
      <c r="E4" s="10"/>
      <c r="F4" s="10"/>
      <c r="G4" s="8" t="s">
        <v>9</v>
      </c>
    </row>
    <row r="5" spans="2:7" ht="15">
      <c r="B5" s="16"/>
      <c r="C5" s="13"/>
      <c r="D5" s="9" t="s">
        <v>6</v>
      </c>
      <c r="E5" s="9" t="s">
        <v>7</v>
      </c>
      <c r="F5" s="9" t="s">
        <v>8</v>
      </c>
      <c r="G5" s="9" t="s">
        <v>10</v>
      </c>
    </row>
    <row r="6" spans="2:9" ht="15">
      <c r="B6" s="17" t="s">
        <v>18</v>
      </c>
      <c r="C6" s="5" t="s">
        <v>24</v>
      </c>
      <c r="D6" s="79">
        <f>IF(AND('Table 2.7 WCs'!G13=1,SUM('Table 2.7 WCs'!E7:E12)&gt;0),AVERAGE('Table 2.7 WCs'!E7:E12),"")</f>
        <v>7.5</v>
      </c>
      <c r="E6" s="6">
        <v>4.42</v>
      </c>
      <c r="F6" s="6">
        <v>0</v>
      </c>
      <c r="G6" s="6">
        <f>IF(ISNUMBER(D6),(D6*E6)+F6,"")</f>
        <v>33.15</v>
      </c>
      <c r="I6" s="2" t="s">
        <v>195</v>
      </c>
    </row>
    <row r="7" spans="2:9" ht="30">
      <c r="B7" s="18" t="s">
        <v>19</v>
      </c>
      <c r="C7" s="5" t="s">
        <v>111</v>
      </c>
      <c r="D7" s="79">
        <f>IF(AND('Table 2.7 WCs'!G13=1,SUM('Table 2.7 WCs'!C7:C12)&gt;0),AVERAGE('Table 2.7 WCs'!C7:C12),"")</f>
      </c>
      <c r="E7" s="6">
        <v>1.46</v>
      </c>
      <c r="F7" s="6">
        <v>0</v>
      </c>
      <c r="G7" s="6">
        <f aca="true" t="shared" si="0" ref="G7:G19">IF(ISNUMBER(D7),(D7*E7)+F7,"")</f>
      </c>
      <c r="I7" s="2" t="s">
        <v>195</v>
      </c>
    </row>
    <row r="8" spans="2:9" ht="30">
      <c r="B8" s="19"/>
      <c r="C8" s="5" t="s">
        <v>25</v>
      </c>
      <c r="D8" s="79">
        <f>IF(AND('Table 2.7 WCs'!G13=1,SUM('Table 2.7 WCs'!D7:D12)&gt;0),AVERAGE('Table 2.7 WCs'!D7:D12),"")</f>
      </c>
      <c r="E8" s="6">
        <v>2.96</v>
      </c>
      <c r="F8" s="6">
        <v>0</v>
      </c>
      <c r="G8" s="6">
        <f t="shared" si="0"/>
      </c>
      <c r="I8" s="2" t="s">
        <v>195</v>
      </c>
    </row>
    <row r="9" spans="2:9" ht="45">
      <c r="B9" s="17" t="s">
        <v>20</v>
      </c>
      <c r="C9" s="5" t="s">
        <v>26</v>
      </c>
      <c r="D9" s="63">
        <f>IF(OR(ISNUMBER(D6),ISNUMBER(D7),ISNUMBER(D8)),"",'Table 2.7 WCs'!H15)</f>
      </c>
      <c r="E9" s="6">
        <v>4.42</v>
      </c>
      <c r="F9" s="6">
        <v>0</v>
      </c>
      <c r="G9" s="6">
        <f t="shared" si="0"/>
      </c>
      <c r="I9" s="2" t="s">
        <v>195</v>
      </c>
    </row>
    <row r="10" spans="2:9" ht="15">
      <c r="B10" s="17" t="s">
        <v>21</v>
      </c>
      <c r="C10" s="5" t="s">
        <v>27</v>
      </c>
      <c r="D10" s="63">
        <f>'Table 2.1 Taps excl. kitchen'!E17</f>
        <v>9</v>
      </c>
      <c r="E10" s="6">
        <v>1.58</v>
      </c>
      <c r="F10" s="6">
        <v>1.58</v>
      </c>
      <c r="G10" s="6">
        <f>IF(ISNUMBER(D10),(D10*E10)+F10,"")</f>
        <v>15.8</v>
      </c>
      <c r="I10" s="2" t="s">
        <v>188</v>
      </c>
    </row>
    <row r="11" spans="2:9" ht="30">
      <c r="B11" s="17" t="s">
        <v>22</v>
      </c>
      <c r="C11" s="5" t="s">
        <v>28</v>
      </c>
      <c r="D11" s="79">
        <f>IF(AND('Table 2.2 Baths'!E17&gt;0,'Table 2.6 Showers'!E17&gt;0),'Table 2.2 Baths'!E17,"")</f>
        <v>155</v>
      </c>
      <c r="E11" s="6">
        <v>0.11</v>
      </c>
      <c r="F11" s="6">
        <v>0</v>
      </c>
      <c r="G11" s="6">
        <f t="shared" si="0"/>
        <v>17.05</v>
      </c>
      <c r="I11" s="2" t="s">
        <v>196</v>
      </c>
    </row>
    <row r="12" spans="2:9" ht="15">
      <c r="B12" s="17" t="s">
        <v>23</v>
      </c>
      <c r="C12" s="5" t="s">
        <v>27</v>
      </c>
      <c r="D12" s="79">
        <f>IF(AND('Table 2.2 Baths'!E17&gt;0,'Table 2.6 Showers'!E17&gt;0),'Table 2.6 Showers'!E17,"")</f>
        <v>16</v>
      </c>
      <c r="E12" s="6">
        <v>4.37</v>
      </c>
      <c r="F12" s="6">
        <v>0</v>
      </c>
      <c r="G12" s="6">
        <f t="shared" si="0"/>
        <v>69.92</v>
      </c>
      <c r="I12" s="2" t="s">
        <v>197</v>
      </c>
    </row>
    <row r="13" spans="2:9" ht="30">
      <c r="B13" s="20" t="s">
        <v>11</v>
      </c>
      <c r="C13" s="5" t="s">
        <v>28</v>
      </c>
      <c r="D13" s="79">
        <f>IF('Table 2.6 Showers'!E17=0,'Table 2.2 Baths'!E17,"")</f>
      </c>
      <c r="E13" s="6">
        <v>0.5</v>
      </c>
      <c r="F13" s="6">
        <v>0</v>
      </c>
      <c r="G13" s="6">
        <f t="shared" si="0"/>
      </c>
      <c r="I13" s="2" t="s">
        <v>196</v>
      </c>
    </row>
    <row r="14" spans="2:9" ht="15">
      <c r="B14" s="20" t="s">
        <v>12</v>
      </c>
      <c r="C14" s="5" t="s">
        <v>27</v>
      </c>
      <c r="D14" s="79">
        <f>IF('Table 2.2 Baths'!E17=0,'Table 2.6 Showers'!E17,"")</f>
      </c>
      <c r="E14" s="22">
        <v>5.6</v>
      </c>
      <c r="F14" s="22">
        <v>0</v>
      </c>
      <c r="G14" s="6">
        <f t="shared" si="0"/>
      </c>
      <c r="I14" s="2" t="s">
        <v>197</v>
      </c>
    </row>
    <row r="15" spans="2:9" ht="15">
      <c r="B15" s="20" t="s">
        <v>13</v>
      </c>
      <c r="C15" s="5" t="s">
        <v>27</v>
      </c>
      <c r="D15" s="80">
        <f>'Table 2.3 Taps Kitchen_Utility'!E17</f>
        <v>9</v>
      </c>
      <c r="E15" s="6">
        <v>0.44</v>
      </c>
      <c r="F15" s="6">
        <v>10.36</v>
      </c>
      <c r="G15" s="6">
        <f t="shared" si="0"/>
        <v>14.32</v>
      </c>
      <c r="I15" s="2" t="s">
        <v>198</v>
      </c>
    </row>
    <row r="16" spans="2:9" ht="15">
      <c r="B16" s="20" t="s">
        <v>14</v>
      </c>
      <c r="C16" s="5" t="s">
        <v>29</v>
      </c>
      <c r="D16" s="80">
        <f>'Table 2.5 WM'!E17</f>
        <v>11</v>
      </c>
      <c r="E16" s="6">
        <v>2.1</v>
      </c>
      <c r="F16" s="6">
        <v>0</v>
      </c>
      <c r="G16" s="6">
        <f t="shared" si="0"/>
        <v>23.1</v>
      </c>
      <c r="I16" s="2" t="s">
        <v>199</v>
      </c>
    </row>
    <row r="17" spans="2:9" ht="15">
      <c r="B17" s="20" t="s">
        <v>15</v>
      </c>
      <c r="C17" s="5" t="s">
        <v>30</v>
      </c>
      <c r="D17" s="80">
        <f>'Table 2.4 DW'!E17</f>
        <v>1.4</v>
      </c>
      <c r="E17" s="6">
        <v>3.6</v>
      </c>
      <c r="F17" s="6">
        <v>0</v>
      </c>
      <c r="G17" s="6">
        <f t="shared" si="0"/>
        <v>5.04</v>
      </c>
      <c r="I17" s="2" t="s">
        <v>200</v>
      </c>
    </row>
    <row r="18" spans="2:9" ht="30">
      <c r="B18" s="20" t="s">
        <v>16</v>
      </c>
      <c r="C18" s="5" t="s">
        <v>31</v>
      </c>
      <c r="D18" s="60" t="s">
        <v>189</v>
      </c>
      <c r="E18" s="6">
        <v>3.08</v>
      </c>
      <c r="F18" s="6">
        <v>0</v>
      </c>
      <c r="G18" s="6">
        <f t="shared" si="0"/>
      </c>
      <c r="I18" s="2" t="s">
        <v>112</v>
      </c>
    </row>
    <row r="19" spans="2:9" ht="15">
      <c r="B19" s="20" t="s">
        <v>17</v>
      </c>
      <c r="C19" s="5" t="s">
        <v>32</v>
      </c>
      <c r="D19" s="6">
        <f>'Table 3 Softeners'!D9</f>
        <v>0</v>
      </c>
      <c r="E19" s="6">
        <v>1</v>
      </c>
      <c r="F19" s="6">
        <v>0</v>
      </c>
      <c r="G19" s="6">
        <f t="shared" si="0"/>
        <v>0</v>
      </c>
      <c r="I19" s="2" t="s">
        <v>117</v>
      </c>
    </row>
    <row r="20" spans="3:7" ht="15">
      <c r="C20" s="21" t="s">
        <v>33</v>
      </c>
      <c r="D20" s="82" t="s">
        <v>34</v>
      </c>
      <c r="E20" s="82"/>
      <c r="F20" s="82"/>
      <c r="G20" s="26">
        <f>SUM(G6:G19)</f>
        <v>178.38</v>
      </c>
    </row>
    <row r="21" spans="3:9" ht="15">
      <c r="C21" s="9" t="s">
        <v>35</v>
      </c>
      <c r="D21" s="83" t="s">
        <v>192</v>
      </c>
      <c r="E21" s="83"/>
      <c r="F21" s="83"/>
      <c r="G21" s="22">
        <f>'Table 4.1 Greywater for WCs'!D6</f>
        <v>0</v>
      </c>
      <c r="I21" s="2" t="s">
        <v>190</v>
      </c>
    </row>
    <row r="22" spans="3:9" ht="15">
      <c r="C22" s="9" t="s">
        <v>36</v>
      </c>
      <c r="D22" s="83" t="s">
        <v>193</v>
      </c>
      <c r="E22" s="83"/>
      <c r="F22" s="83"/>
      <c r="G22" s="22">
        <f>'Table 5.5 Rainwater savings'!C9</f>
        <v>0</v>
      </c>
      <c r="I22" s="2" t="s">
        <v>191</v>
      </c>
    </row>
    <row r="23" spans="3:7" ht="15">
      <c r="C23" s="9" t="s">
        <v>37</v>
      </c>
      <c r="D23" s="83" t="s">
        <v>41</v>
      </c>
      <c r="E23" s="83"/>
      <c r="F23" s="83"/>
      <c r="G23" s="22">
        <v>0.91</v>
      </c>
    </row>
    <row r="24" spans="3:7" ht="30" customHeight="1">
      <c r="C24" s="9" t="s">
        <v>38</v>
      </c>
      <c r="D24" s="81" t="s">
        <v>43</v>
      </c>
      <c r="E24" s="81"/>
      <c r="F24" s="81"/>
      <c r="G24" s="26">
        <f>(G20-G21-G22)*G23</f>
        <v>162.32580000000002</v>
      </c>
    </row>
    <row r="25" spans="3:7" ht="15">
      <c r="C25" s="9" t="s">
        <v>39</v>
      </c>
      <c r="D25" s="83" t="s">
        <v>42</v>
      </c>
      <c r="E25" s="83"/>
      <c r="F25" s="83"/>
      <c r="G25" s="22">
        <v>5</v>
      </c>
    </row>
    <row r="26" spans="3:7" ht="30" customHeight="1">
      <c r="C26" s="9" t="s">
        <v>40</v>
      </c>
      <c r="D26" s="81" t="s">
        <v>44</v>
      </c>
      <c r="E26" s="81"/>
      <c r="F26" s="81"/>
      <c r="G26" s="26">
        <f>G24+G25</f>
        <v>167.32580000000002</v>
      </c>
    </row>
  </sheetData>
  <sheetProtection/>
  <mergeCells count="7">
    <mergeCell ref="D26:F26"/>
    <mergeCell ref="D20:F20"/>
    <mergeCell ref="D21:F21"/>
    <mergeCell ref="D22:F22"/>
    <mergeCell ref="D23:F23"/>
    <mergeCell ref="D24:F24"/>
    <mergeCell ref="D25:F25"/>
  </mergeCells>
  <printOptions/>
  <pageMargins left="0.7" right="0.7" top="0.75" bottom="0.75" header="0.3" footer="0.3"/>
  <pageSetup orientation="portrait" paperSize="9" r:id="rId1"/>
</worksheet>
</file>

<file path=xl/worksheets/sheet20.xml><?xml version="1.0" encoding="utf-8"?>
<worksheet xmlns="http://schemas.openxmlformats.org/spreadsheetml/2006/main" xmlns:r="http://schemas.openxmlformats.org/officeDocument/2006/relationships">
  <dimension ref="B1:E13"/>
  <sheetViews>
    <sheetView zoomScalePageLayoutView="0" workbookViewId="0" topLeftCell="B1">
      <selection activeCell="J11" sqref="J11"/>
    </sheetView>
  </sheetViews>
  <sheetFormatPr defaultColWidth="9.140625" defaultRowHeight="15"/>
  <cols>
    <col min="2" max="4" width="27.140625" style="0" customWidth="1"/>
    <col min="5" max="5" width="17.8515625" style="0" customWidth="1"/>
  </cols>
  <sheetData>
    <row r="1" ht="15">
      <c r="B1" s="49" t="s">
        <v>179</v>
      </c>
    </row>
    <row r="3" ht="15">
      <c r="B3" t="s">
        <v>135</v>
      </c>
    </row>
    <row r="4" spans="2:5" ht="30">
      <c r="B4" s="46" t="s">
        <v>136</v>
      </c>
      <c r="C4" s="46" t="s">
        <v>128</v>
      </c>
      <c r="D4" s="46" t="s">
        <v>175</v>
      </c>
      <c r="E4" s="46" t="s">
        <v>176</v>
      </c>
    </row>
    <row r="5" spans="2:5" ht="15">
      <c r="B5" s="47" t="s">
        <v>50</v>
      </c>
      <c r="C5" s="48" t="s">
        <v>51</v>
      </c>
      <c r="D5" s="48" t="s">
        <v>52</v>
      </c>
      <c r="E5" s="48" t="s">
        <v>131</v>
      </c>
    </row>
    <row r="6" spans="2:5" ht="15">
      <c r="B6" s="65"/>
      <c r="C6" s="65"/>
      <c r="D6" s="65"/>
      <c r="E6" s="40">
        <f>B6*D6</f>
        <v>0</v>
      </c>
    </row>
    <row r="7" spans="2:5" ht="15">
      <c r="B7" s="65"/>
      <c r="C7" s="65"/>
      <c r="D7" s="65"/>
      <c r="E7" s="40">
        <f>B7*D7</f>
        <v>0</v>
      </c>
    </row>
    <row r="8" spans="2:5" ht="15">
      <c r="B8" s="65"/>
      <c r="C8" s="65"/>
      <c r="D8" s="65"/>
      <c r="E8" s="40">
        <f>B8*D8</f>
        <v>0</v>
      </c>
    </row>
    <row r="9" spans="2:5" ht="15">
      <c r="B9" s="65"/>
      <c r="C9" s="65"/>
      <c r="D9" s="65"/>
      <c r="E9" s="40">
        <f>B9*D9</f>
        <v>0</v>
      </c>
    </row>
    <row r="10" spans="2:5" ht="15">
      <c r="B10" s="65"/>
      <c r="C10" s="65"/>
      <c r="D10" s="65"/>
      <c r="E10" s="40">
        <f>B10*D10</f>
        <v>0</v>
      </c>
    </row>
    <row r="11" spans="2:5" ht="45">
      <c r="B11" s="68" t="s">
        <v>133</v>
      </c>
      <c r="C11" s="40">
        <f>SUM(C6:C10)</f>
        <v>0</v>
      </c>
      <c r="D11" s="68" t="s">
        <v>177</v>
      </c>
      <c r="E11" s="40">
        <f>SUM(E6:E10)</f>
        <v>0</v>
      </c>
    </row>
    <row r="12" spans="2:5" ht="15" customHeight="1">
      <c r="B12" s="90" t="s">
        <v>180</v>
      </c>
      <c r="C12" s="91"/>
      <c r="D12" s="92"/>
      <c r="E12" s="69" t="e">
        <f>IF((($E$11/$C$11)*2.1)&gt;0,(($E$11/$C$11)*2.1),0)</f>
        <v>#DIV/0!</v>
      </c>
    </row>
    <row r="13" ht="15">
      <c r="B13" s="67"/>
    </row>
  </sheetData>
  <sheetProtection/>
  <mergeCells count="1">
    <mergeCell ref="B12:D1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B1:C11"/>
  <sheetViews>
    <sheetView zoomScalePageLayoutView="0" workbookViewId="0" topLeftCell="B1">
      <selection activeCell="C9" sqref="C9"/>
    </sheetView>
  </sheetViews>
  <sheetFormatPr defaultColWidth="9.140625" defaultRowHeight="15"/>
  <cols>
    <col min="2" max="2" width="32.8515625" style="0" customWidth="1"/>
    <col min="3" max="3" width="27.140625" style="0" customWidth="1"/>
  </cols>
  <sheetData>
    <row r="1" ht="15">
      <c r="B1" s="49" t="s">
        <v>181</v>
      </c>
    </row>
    <row r="3" ht="15">
      <c r="B3" t="s">
        <v>182</v>
      </c>
    </row>
    <row r="4" spans="2:3" ht="30">
      <c r="B4" s="46" t="s">
        <v>150</v>
      </c>
      <c r="C4" s="46" t="s">
        <v>183</v>
      </c>
    </row>
    <row r="5" spans="2:3" ht="15">
      <c r="B5" s="70"/>
      <c r="C5" s="70"/>
    </row>
    <row r="6" spans="2:3" ht="15">
      <c r="B6" s="47" t="s">
        <v>50</v>
      </c>
      <c r="C6" s="48" t="s">
        <v>51</v>
      </c>
    </row>
    <row r="7" spans="2:3" ht="15">
      <c r="B7" s="75" t="s">
        <v>184</v>
      </c>
      <c r="C7" s="65"/>
    </row>
    <row r="8" spans="2:3" ht="15">
      <c r="B8" s="76" t="s">
        <v>185</v>
      </c>
      <c r="C8" s="65"/>
    </row>
    <row r="9" spans="2:3" ht="15">
      <c r="B9" s="77" t="s">
        <v>186</v>
      </c>
      <c r="C9" s="78">
        <f>IF(ISNUMBER(C7/C8)*C8,(C7/C8)*C8,0)</f>
        <v>0</v>
      </c>
    </row>
    <row r="10" ht="15">
      <c r="B10" s="74"/>
    </row>
    <row r="11" ht="15">
      <c r="B11" t="s">
        <v>187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E19"/>
  <sheetViews>
    <sheetView zoomScalePageLayoutView="0" workbookViewId="0" topLeftCell="A1">
      <selection activeCell="C8" sqref="C8"/>
    </sheetView>
  </sheetViews>
  <sheetFormatPr defaultColWidth="9.140625" defaultRowHeight="15"/>
  <cols>
    <col min="1" max="1" width="9.140625" style="3" customWidth="1"/>
    <col min="2" max="4" width="18.140625" style="4" customWidth="1"/>
    <col min="5" max="5" width="21.140625" style="4" customWidth="1"/>
    <col min="6" max="16384" width="9.140625" style="3" customWidth="1"/>
  </cols>
  <sheetData>
    <row r="1" ht="15">
      <c r="B1" s="27" t="s">
        <v>45</v>
      </c>
    </row>
    <row r="3" spans="2:5" ht="15">
      <c r="B3" s="85" t="s">
        <v>46</v>
      </c>
      <c r="C3" s="86"/>
      <c r="D3" s="28"/>
      <c r="E3" s="29"/>
    </row>
    <row r="4" spans="2:5" ht="15">
      <c r="B4" s="11" t="s">
        <v>47</v>
      </c>
      <c r="C4" s="7" t="s">
        <v>27</v>
      </c>
      <c r="D4" s="7" t="s">
        <v>48</v>
      </c>
      <c r="E4" s="7" t="s">
        <v>49</v>
      </c>
    </row>
    <row r="5" spans="2:5" ht="15">
      <c r="B5" s="12"/>
      <c r="C5" s="10"/>
      <c r="D5" s="10"/>
      <c r="E5" s="8" t="s">
        <v>53</v>
      </c>
    </row>
    <row r="6" spans="2:5" ht="15">
      <c r="B6" s="13"/>
      <c r="C6" s="9" t="s">
        <v>50</v>
      </c>
      <c r="D6" s="9" t="s">
        <v>51</v>
      </c>
      <c r="E6" s="9" t="s">
        <v>52</v>
      </c>
    </row>
    <row r="7" spans="2:5" ht="15">
      <c r="B7" s="30">
        <v>1</v>
      </c>
      <c r="C7" s="60">
        <v>9</v>
      </c>
      <c r="D7" s="60">
        <v>1</v>
      </c>
      <c r="E7" s="22">
        <f>IF(ISNUMBER(D7),C7*D7,"")</f>
        <v>9</v>
      </c>
    </row>
    <row r="8" spans="2:5" ht="15">
      <c r="B8" s="30">
        <v>2</v>
      </c>
      <c r="C8" s="60"/>
      <c r="D8" s="60"/>
      <c r="E8" s="22">
        <f>IF(ISNUMBER(D8),C8*D8,"")</f>
      </c>
    </row>
    <row r="9" spans="2:5" ht="15">
      <c r="B9" s="30">
        <v>3</v>
      </c>
      <c r="C9" s="60"/>
      <c r="D9" s="60"/>
      <c r="E9" s="22">
        <f>IF(ISNUMBER(D9),C9*D9,"")</f>
      </c>
    </row>
    <row r="10" spans="2:5" ht="15">
      <c r="B10" s="30">
        <v>4</v>
      </c>
      <c r="C10" s="60"/>
      <c r="D10" s="60"/>
      <c r="E10" s="22">
        <f>IF(ISNUMBER(D10),C10*D10,"")</f>
      </c>
    </row>
    <row r="11" spans="2:5" ht="15">
      <c r="B11" s="81" t="s">
        <v>55</v>
      </c>
      <c r="C11" s="81"/>
      <c r="D11" s="25">
        <f>SUM(D7:D10)</f>
        <v>1</v>
      </c>
      <c r="E11" s="22"/>
    </row>
    <row r="12" spans="2:5" ht="15">
      <c r="B12" s="81" t="s">
        <v>54</v>
      </c>
      <c r="C12" s="81"/>
      <c r="D12" s="81"/>
      <c r="E12" s="25">
        <f>SUM(E7:E10)</f>
        <v>9</v>
      </c>
    </row>
    <row r="13" spans="2:5" ht="15">
      <c r="B13" s="81" t="s">
        <v>56</v>
      </c>
      <c r="C13" s="81"/>
      <c r="D13" s="81"/>
      <c r="E13" s="24">
        <f>IF(D11=0,0,E12/D11)</f>
        <v>9</v>
      </c>
    </row>
    <row r="14" spans="2:5" ht="15">
      <c r="B14" s="81" t="s">
        <v>57</v>
      </c>
      <c r="C14" s="81"/>
      <c r="D14" s="81"/>
      <c r="E14" s="24">
        <f>MAX(C7:C10)</f>
        <v>9</v>
      </c>
    </row>
    <row r="15" spans="2:5" ht="15">
      <c r="B15" s="87" t="s">
        <v>125</v>
      </c>
      <c r="C15" s="81"/>
      <c r="D15" s="81"/>
      <c r="E15" s="24">
        <f>E14*0.7</f>
        <v>6.3</v>
      </c>
    </row>
    <row r="16" ht="15">
      <c r="B16" s="3"/>
    </row>
    <row r="17" spans="2:5" ht="15">
      <c r="B17" s="84" t="s">
        <v>58</v>
      </c>
      <c r="C17" s="84"/>
      <c r="D17" s="84"/>
      <c r="E17" s="25">
        <f>IF(E13&lt;E15,E15,E13)</f>
        <v>9</v>
      </c>
    </row>
    <row r="18" ht="15">
      <c r="B18" s="3"/>
    </row>
    <row r="19" ht="15">
      <c r="B19" s="3"/>
    </row>
  </sheetData>
  <sheetProtection/>
  <mergeCells count="7">
    <mergeCell ref="B17:D17"/>
    <mergeCell ref="B3:C3"/>
    <mergeCell ref="B11:C11"/>
    <mergeCell ref="B12:D12"/>
    <mergeCell ref="B13:D13"/>
    <mergeCell ref="B14:D14"/>
    <mergeCell ref="B15:D1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19"/>
  <sheetViews>
    <sheetView zoomScalePageLayoutView="0" workbookViewId="0" topLeftCell="A1">
      <selection activeCell="E7" sqref="E7"/>
    </sheetView>
  </sheetViews>
  <sheetFormatPr defaultColWidth="9.140625" defaultRowHeight="15"/>
  <cols>
    <col min="1" max="1" width="9.140625" style="3" customWidth="1"/>
    <col min="2" max="4" width="18.140625" style="4" customWidth="1"/>
    <col min="5" max="5" width="21.140625" style="4" customWidth="1"/>
    <col min="6" max="16384" width="9.140625" style="3" customWidth="1"/>
  </cols>
  <sheetData>
    <row r="1" ht="15">
      <c r="B1" s="27" t="s">
        <v>45</v>
      </c>
    </row>
    <row r="3" spans="2:5" ht="15">
      <c r="B3" s="85" t="s">
        <v>59</v>
      </c>
      <c r="C3" s="86"/>
      <c r="D3" s="28"/>
      <c r="E3" s="29"/>
    </row>
    <row r="4" spans="2:5" ht="30">
      <c r="B4" s="11" t="s">
        <v>60</v>
      </c>
      <c r="C4" s="7" t="s">
        <v>28</v>
      </c>
      <c r="D4" s="7" t="s">
        <v>48</v>
      </c>
      <c r="E4" s="7" t="s">
        <v>49</v>
      </c>
    </row>
    <row r="5" spans="2:5" ht="15">
      <c r="B5" s="12"/>
      <c r="C5" s="10"/>
      <c r="D5" s="10"/>
      <c r="E5" s="8" t="s">
        <v>53</v>
      </c>
    </row>
    <row r="6" spans="2:5" ht="15">
      <c r="B6" s="13"/>
      <c r="C6" s="9" t="s">
        <v>50</v>
      </c>
      <c r="D6" s="9" t="s">
        <v>51</v>
      </c>
      <c r="E6" s="9" t="s">
        <v>52</v>
      </c>
    </row>
    <row r="7" spans="2:5" ht="15">
      <c r="B7" s="30">
        <v>1</v>
      </c>
      <c r="C7" s="60">
        <v>155</v>
      </c>
      <c r="D7" s="60">
        <v>1</v>
      </c>
      <c r="E7" s="22">
        <f>IF(ISNUMBER(D7),C7*D7,"")</f>
        <v>155</v>
      </c>
    </row>
    <row r="8" spans="2:5" ht="15">
      <c r="B8" s="30">
        <v>2</v>
      </c>
      <c r="C8" s="60"/>
      <c r="D8" s="60"/>
      <c r="E8" s="22">
        <f>IF(ISNUMBER(D8),C8*D8,"")</f>
      </c>
    </row>
    <row r="9" spans="2:5" ht="15">
      <c r="B9" s="30">
        <v>3</v>
      </c>
      <c r="C9" s="60"/>
      <c r="D9" s="60"/>
      <c r="E9" s="22">
        <f>IF(ISNUMBER(D9),C9*D9,"")</f>
      </c>
    </row>
    <row r="10" spans="2:5" ht="15">
      <c r="B10" s="30">
        <v>4</v>
      </c>
      <c r="C10" s="60"/>
      <c r="D10" s="60"/>
      <c r="E10" s="22">
        <f>IF(ISNUMBER(D10),C10*D10,"")</f>
      </c>
    </row>
    <row r="11" spans="2:5" ht="15">
      <c r="B11" s="81" t="s">
        <v>55</v>
      </c>
      <c r="C11" s="81"/>
      <c r="D11" s="25">
        <f>SUM(D7:D10)</f>
        <v>1</v>
      </c>
      <c r="E11" s="22"/>
    </row>
    <row r="12" spans="2:5" ht="15">
      <c r="B12" s="81" t="s">
        <v>54</v>
      </c>
      <c r="C12" s="81"/>
      <c r="D12" s="81"/>
      <c r="E12" s="25">
        <f>SUM(E7:E10)</f>
        <v>155</v>
      </c>
    </row>
    <row r="13" spans="2:5" ht="15">
      <c r="B13" s="81" t="s">
        <v>66</v>
      </c>
      <c r="C13" s="81"/>
      <c r="D13" s="81"/>
      <c r="E13" s="24">
        <f>IF(D11=0,0,E12/D11)</f>
        <v>155</v>
      </c>
    </row>
    <row r="14" spans="2:5" ht="15">
      <c r="B14" s="87" t="s">
        <v>158</v>
      </c>
      <c r="C14" s="81"/>
      <c r="D14" s="81"/>
      <c r="E14" s="24">
        <f>MAX(C7:C10)</f>
        <v>155</v>
      </c>
    </row>
    <row r="15" spans="2:5" ht="15">
      <c r="B15" s="87" t="s">
        <v>159</v>
      </c>
      <c r="C15" s="81"/>
      <c r="D15" s="81"/>
      <c r="E15" s="24">
        <f>E14*0.7</f>
        <v>108.5</v>
      </c>
    </row>
    <row r="16" ht="15">
      <c r="B16" s="3"/>
    </row>
    <row r="17" spans="2:5" ht="15">
      <c r="B17" s="84" t="s">
        <v>67</v>
      </c>
      <c r="C17" s="84"/>
      <c r="D17" s="84"/>
      <c r="E17" s="25">
        <f>IF(E13&lt;E15,E15,E13)</f>
        <v>155</v>
      </c>
    </row>
    <row r="18" ht="15">
      <c r="B18" s="3"/>
    </row>
    <row r="19" ht="15">
      <c r="B19" s="3"/>
    </row>
  </sheetData>
  <sheetProtection/>
  <mergeCells count="7">
    <mergeCell ref="B17:D17"/>
    <mergeCell ref="B3:C3"/>
    <mergeCell ref="B11:C11"/>
    <mergeCell ref="B12:D12"/>
    <mergeCell ref="B13:D13"/>
    <mergeCell ref="B14:D14"/>
    <mergeCell ref="B15:D1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E19"/>
  <sheetViews>
    <sheetView zoomScalePageLayoutView="0" workbookViewId="0" topLeftCell="A1">
      <selection activeCell="C8" sqref="C8"/>
    </sheetView>
  </sheetViews>
  <sheetFormatPr defaultColWidth="9.140625" defaultRowHeight="15"/>
  <cols>
    <col min="1" max="1" width="9.140625" style="3" customWidth="1"/>
    <col min="2" max="4" width="18.140625" style="4" customWidth="1"/>
    <col min="5" max="5" width="21.140625" style="4" customWidth="1"/>
    <col min="6" max="16384" width="9.140625" style="3" customWidth="1"/>
  </cols>
  <sheetData>
    <row r="1" ht="15">
      <c r="B1" s="27" t="s">
        <v>45</v>
      </c>
    </row>
    <row r="3" spans="2:5" ht="15">
      <c r="B3" s="85" t="s">
        <v>118</v>
      </c>
      <c r="C3" s="86"/>
      <c r="D3" s="28"/>
      <c r="E3" s="29"/>
    </row>
    <row r="4" spans="2:5" ht="15">
      <c r="B4" s="11" t="s">
        <v>47</v>
      </c>
      <c r="C4" s="7" t="s">
        <v>27</v>
      </c>
      <c r="D4" s="7" t="s">
        <v>48</v>
      </c>
      <c r="E4" s="7" t="s">
        <v>49</v>
      </c>
    </row>
    <row r="5" spans="2:5" ht="15">
      <c r="B5" s="12"/>
      <c r="C5" s="10"/>
      <c r="D5" s="10"/>
      <c r="E5" s="8" t="s">
        <v>53</v>
      </c>
    </row>
    <row r="6" spans="2:5" ht="15">
      <c r="B6" s="13"/>
      <c r="C6" s="9" t="s">
        <v>50</v>
      </c>
      <c r="D6" s="9" t="s">
        <v>51</v>
      </c>
      <c r="E6" s="9" t="s">
        <v>52</v>
      </c>
    </row>
    <row r="7" spans="2:5" ht="15">
      <c r="B7" s="30">
        <v>1</v>
      </c>
      <c r="C7" s="60">
        <v>9</v>
      </c>
      <c r="D7" s="60">
        <v>1</v>
      </c>
      <c r="E7" s="22">
        <f>IF(ISNUMBER(D7),C7*D7,"")</f>
        <v>9</v>
      </c>
    </row>
    <row r="8" spans="2:5" ht="15">
      <c r="B8" s="30">
        <v>2</v>
      </c>
      <c r="C8" s="60"/>
      <c r="D8" s="60"/>
      <c r="E8" s="22">
        <f>IF(ISNUMBER(D8),C8*D8,"")</f>
      </c>
    </row>
    <row r="9" spans="2:5" ht="15">
      <c r="B9" s="30">
        <v>3</v>
      </c>
      <c r="C9" s="60"/>
      <c r="D9" s="60"/>
      <c r="E9" s="22">
        <f>IF(ISNUMBER(D9),C9*D9,"")</f>
      </c>
    </row>
    <row r="10" spans="2:5" ht="15">
      <c r="B10" s="30">
        <v>4</v>
      </c>
      <c r="C10" s="60"/>
      <c r="D10" s="60"/>
      <c r="E10" s="22">
        <f>IF(ISNUMBER(D10),C10*D10,"")</f>
      </c>
    </row>
    <row r="11" spans="2:5" ht="15">
      <c r="B11" s="81" t="s">
        <v>55</v>
      </c>
      <c r="C11" s="81"/>
      <c r="D11" s="25">
        <f>SUM(D7:D10)</f>
        <v>1</v>
      </c>
      <c r="E11" s="22"/>
    </row>
    <row r="12" spans="2:5" ht="15">
      <c r="B12" s="81" t="s">
        <v>54</v>
      </c>
      <c r="C12" s="81"/>
      <c r="D12" s="81"/>
      <c r="E12" s="25">
        <f>SUM(E7:E10)</f>
        <v>9</v>
      </c>
    </row>
    <row r="13" spans="2:5" ht="15">
      <c r="B13" s="81" t="s">
        <v>56</v>
      </c>
      <c r="C13" s="81"/>
      <c r="D13" s="81"/>
      <c r="E13" s="24">
        <f>IF(D11=0,0,E12/D11)</f>
        <v>9</v>
      </c>
    </row>
    <row r="14" spans="2:5" ht="15">
      <c r="B14" s="87" t="s">
        <v>119</v>
      </c>
      <c r="C14" s="81"/>
      <c r="D14" s="81"/>
      <c r="E14" s="24">
        <f>MAX(C7:C10)</f>
        <v>9</v>
      </c>
    </row>
    <row r="15" spans="2:5" ht="15">
      <c r="B15" s="87" t="s">
        <v>120</v>
      </c>
      <c r="C15" s="81"/>
      <c r="D15" s="81"/>
      <c r="E15" s="24">
        <f>E14*0.7</f>
        <v>6.3</v>
      </c>
    </row>
    <row r="16" ht="15">
      <c r="B16" s="3"/>
    </row>
    <row r="17" spans="2:5" ht="15">
      <c r="B17" s="84" t="s">
        <v>58</v>
      </c>
      <c r="C17" s="84"/>
      <c r="D17" s="84"/>
      <c r="E17" s="25">
        <f>IF(E13&lt;E15,E15,E13)</f>
        <v>9</v>
      </c>
    </row>
    <row r="18" ht="15">
      <c r="B18" s="3"/>
    </row>
    <row r="19" ht="15">
      <c r="B19" s="3"/>
    </row>
  </sheetData>
  <sheetProtection/>
  <mergeCells count="7">
    <mergeCell ref="B17:D17"/>
    <mergeCell ref="B3:C3"/>
    <mergeCell ref="B11:C11"/>
    <mergeCell ref="B12:D12"/>
    <mergeCell ref="B13:D13"/>
    <mergeCell ref="B14:D14"/>
    <mergeCell ref="B15:D1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19"/>
  <sheetViews>
    <sheetView zoomScalePageLayoutView="0" workbookViewId="0" topLeftCell="A1">
      <selection activeCell="C8" sqref="C8"/>
    </sheetView>
  </sheetViews>
  <sheetFormatPr defaultColWidth="9.140625" defaultRowHeight="15"/>
  <cols>
    <col min="1" max="1" width="9.140625" style="3" customWidth="1"/>
    <col min="2" max="4" width="18.140625" style="4" customWidth="1"/>
    <col min="5" max="5" width="21.140625" style="4" customWidth="1"/>
    <col min="6" max="16384" width="9.140625" style="3" customWidth="1"/>
  </cols>
  <sheetData>
    <row r="1" spans="1:2" ht="15">
      <c r="A1" s="66"/>
      <c r="B1" s="27" t="s">
        <v>45</v>
      </c>
    </row>
    <row r="3" spans="2:5" ht="15">
      <c r="B3" s="85" t="s">
        <v>61</v>
      </c>
      <c r="C3" s="86"/>
      <c r="D3" s="28"/>
      <c r="E3" s="29"/>
    </row>
    <row r="4" spans="2:5" ht="30">
      <c r="B4" s="11" t="s">
        <v>62</v>
      </c>
      <c r="C4" s="7" t="s">
        <v>63</v>
      </c>
      <c r="D4" s="7" t="s">
        <v>48</v>
      </c>
      <c r="E4" s="7" t="s">
        <v>49</v>
      </c>
    </row>
    <row r="5" spans="2:5" ht="15">
      <c r="B5" s="12"/>
      <c r="C5" s="10"/>
      <c r="D5" s="10"/>
      <c r="E5" s="8" t="s">
        <v>53</v>
      </c>
    </row>
    <row r="6" spans="2:5" ht="15">
      <c r="B6" s="13"/>
      <c r="C6" s="9" t="s">
        <v>50</v>
      </c>
      <c r="D6" s="9" t="s">
        <v>51</v>
      </c>
      <c r="E6" s="9" t="s">
        <v>52</v>
      </c>
    </row>
    <row r="7" spans="2:5" ht="15">
      <c r="B7" s="30">
        <v>1</v>
      </c>
      <c r="C7" s="60">
        <v>1.4</v>
      </c>
      <c r="D7" s="60">
        <v>1</v>
      </c>
      <c r="E7" s="22">
        <f>IF(ISNUMBER(D7),C7*D7,"")</f>
        <v>1.4</v>
      </c>
    </row>
    <row r="8" spans="2:5" ht="15">
      <c r="B8" s="30">
        <v>2</v>
      </c>
      <c r="C8" s="60"/>
      <c r="D8" s="60"/>
      <c r="E8" s="22">
        <f>IF(ISNUMBER(D8),C8*D8,"")</f>
      </c>
    </row>
    <row r="9" spans="2:5" ht="15">
      <c r="B9" s="30">
        <v>3</v>
      </c>
      <c r="C9" s="60"/>
      <c r="D9" s="60"/>
      <c r="E9" s="22">
        <f>IF(ISNUMBER(D9),C9*D9,"")</f>
      </c>
    </row>
    <row r="10" spans="2:5" ht="15">
      <c r="B10" s="30">
        <v>4</v>
      </c>
      <c r="C10" s="60"/>
      <c r="D10" s="60"/>
      <c r="E10" s="22">
        <f>IF(ISNUMBER(D10),C10*D10,"")</f>
      </c>
    </row>
    <row r="11" spans="2:5" ht="15">
      <c r="B11" s="81" t="s">
        <v>55</v>
      </c>
      <c r="C11" s="81"/>
      <c r="D11" s="25">
        <f>SUM(D7:D10)</f>
        <v>1</v>
      </c>
      <c r="E11" s="22"/>
    </row>
    <row r="12" spans="2:5" ht="15">
      <c r="B12" s="81" t="s">
        <v>54</v>
      </c>
      <c r="C12" s="81"/>
      <c r="D12" s="81"/>
      <c r="E12" s="25">
        <f>SUM(E7:E10)</f>
        <v>1.4</v>
      </c>
    </row>
    <row r="13" spans="2:5" ht="15">
      <c r="B13" s="81" t="s">
        <v>64</v>
      </c>
      <c r="C13" s="81"/>
      <c r="D13" s="81"/>
      <c r="E13" s="24">
        <f>IF(D11=0,0,E12/D11)</f>
        <v>1.4</v>
      </c>
    </row>
    <row r="14" spans="2:5" ht="15">
      <c r="B14" s="87" t="s">
        <v>121</v>
      </c>
      <c r="C14" s="81"/>
      <c r="D14" s="81"/>
      <c r="E14" s="24">
        <f>MAX(C7:C10)</f>
        <v>1.4</v>
      </c>
    </row>
    <row r="15" spans="2:5" ht="15">
      <c r="B15" s="87" t="s">
        <v>122</v>
      </c>
      <c r="C15" s="81"/>
      <c r="D15" s="81"/>
      <c r="E15" s="24">
        <f>E14*0.7</f>
        <v>0.9799999999999999</v>
      </c>
    </row>
    <row r="16" ht="15">
      <c r="B16" s="3"/>
    </row>
    <row r="17" spans="2:5" ht="15">
      <c r="B17" s="84" t="s">
        <v>65</v>
      </c>
      <c r="C17" s="84"/>
      <c r="D17" s="84"/>
      <c r="E17" s="25">
        <f>IF(E13&lt;E15,E15,E13)</f>
        <v>1.4</v>
      </c>
    </row>
    <row r="18" ht="15">
      <c r="B18" s="3"/>
    </row>
    <row r="19" ht="15">
      <c r="B19" s="3"/>
    </row>
  </sheetData>
  <sheetProtection/>
  <mergeCells count="7">
    <mergeCell ref="B17:D17"/>
    <mergeCell ref="B3:C3"/>
    <mergeCell ref="B11:C11"/>
    <mergeCell ref="B12:D12"/>
    <mergeCell ref="B13:D13"/>
    <mergeCell ref="B14:D14"/>
    <mergeCell ref="B15:D1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E19"/>
  <sheetViews>
    <sheetView zoomScalePageLayoutView="0" workbookViewId="0" topLeftCell="A1">
      <selection activeCell="E7" sqref="E7"/>
    </sheetView>
  </sheetViews>
  <sheetFormatPr defaultColWidth="9.140625" defaultRowHeight="15"/>
  <cols>
    <col min="1" max="1" width="9.140625" style="3" customWidth="1"/>
    <col min="2" max="4" width="18.140625" style="4" customWidth="1"/>
    <col min="5" max="5" width="21.140625" style="4" customWidth="1"/>
    <col min="6" max="16384" width="9.140625" style="3" customWidth="1"/>
  </cols>
  <sheetData>
    <row r="1" ht="15">
      <c r="B1" s="27" t="s">
        <v>45</v>
      </c>
    </row>
    <row r="3" spans="2:5" ht="15">
      <c r="B3" s="85" t="s">
        <v>68</v>
      </c>
      <c r="C3" s="86"/>
      <c r="D3" s="28"/>
      <c r="E3" s="29"/>
    </row>
    <row r="4" spans="2:5" ht="30">
      <c r="B4" s="11" t="s">
        <v>69</v>
      </c>
      <c r="C4" s="7" t="s">
        <v>70</v>
      </c>
      <c r="D4" s="7" t="s">
        <v>48</v>
      </c>
      <c r="E4" s="7" t="s">
        <v>49</v>
      </c>
    </row>
    <row r="5" spans="2:5" ht="15">
      <c r="B5" s="12"/>
      <c r="C5" s="10"/>
      <c r="D5" s="10"/>
      <c r="E5" s="8" t="s">
        <v>53</v>
      </c>
    </row>
    <row r="6" spans="2:5" ht="15">
      <c r="B6" s="13"/>
      <c r="C6" s="9" t="s">
        <v>50</v>
      </c>
      <c r="D6" s="9" t="s">
        <v>51</v>
      </c>
      <c r="E6" s="9" t="s">
        <v>52</v>
      </c>
    </row>
    <row r="7" spans="2:5" ht="15">
      <c r="B7" s="30">
        <v>1</v>
      </c>
      <c r="C7" s="60">
        <v>11</v>
      </c>
      <c r="D7" s="60">
        <v>1</v>
      </c>
      <c r="E7" s="22">
        <f>IF(ISNUMBER(D7),C7*D7,"")</f>
        <v>11</v>
      </c>
    </row>
    <row r="8" spans="2:5" ht="15">
      <c r="B8" s="30">
        <v>2</v>
      </c>
      <c r="C8" s="60"/>
      <c r="D8" s="60"/>
      <c r="E8" s="22">
        <f>IF(ISNUMBER(D8),C8*D8,"")</f>
      </c>
    </row>
    <row r="9" spans="2:5" ht="15">
      <c r="B9" s="30">
        <v>3</v>
      </c>
      <c r="C9" s="60"/>
      <c r="D9" s="60"/>
      <c r="E9" s="22">
        <f>IF(ISNUMBER(D9),C9*D9,"")</f>
      </c>
    </row>
    <row r="10" spans="2:5" ht="15">
      <c r="B10" s="30">
        <v>4</v>
      </c>
      <c r="C10" s="60"/>
      <c r="D10" s="60"/>
      <c r="E10" s="22">
        <f>IF(ISNUMBER(D10),C10*D10,"")</f>
      </c>
    </row>
    <row r="11" spans="2:5" ht="15">
      <c r="B11" s="81" t="s">
        <v>55</v>
      </c>
      <c r="C11" s="81"/>
      <c r="D11" s="25">
        <f>SUM(D7:D10)</f>
        <v>1</v>
      </c>
      <c r="E11" s="22"/>
    </row>
    <row r="12" spans="2:5" ht="15">
      <c r="B12" s="81" t="s">
        <v>54</v>
      </c>
      <c r="C12" s="81"/>
      <c r="D12" s="81"/>
      <c r="E12" s="25">
        <f>SUM(E7:E10)</f>
        <v>11</v>
      </c>
    </row>
    <row r="13" spans="2:5" ht="15">
      <c r="B13" s="81" t="s">
        <v>71</v>
      </c>
      <c r="C13" s="81"/>
      <c r="D13" s="81"/>
      <c r="E13" s="24">
        <f>IF(D11=0,0,E12/D11)</f>
        <v>11</v>
      </c>
    </row>
    <row r="14" spans="2:5" ht="15">
      <c r="B14" s="87" t="s">
        <v>123</v>
      </c>
      <c r="C14" s="81"/>
      <c r="D14" s="81"/>
      <c r="E14" s="24">
        <f>MAX(C7:C10)</f>
        <v>11</v>
      </c>
    </row>
    <row r="15" spans="2:5" ht="15">
      <c r="B15" s="87" t="s">
        <v>124</v>
      </c>
      <c r="C15" s="81"/>
      <c r="D15" s="81"/>
      <c r="E15" s="24">
        <f>E14*0.7</f>
        <v>7.699999999999999</v>
      </c>
    </row>
    <row r="16" ht="15">
      <c r="B16" s="3"/>
    </row>
    <row r="17" spans="2:5" ht="15">
      <c r="B17" s="84" t="s">
        <v>72</v>
      </c>
      <c r="C17" s="84"/>
      <c r="D17" s="84"/>
      <c r="E17" s="25">
        <f>IF(E13&lt;E15,E15,E13)</f>
        <v>11</v>
      </c>
    </row>
    <row r="18" ht="15">
      <c r="B18" s="3"/>
    </row>
    <row r="19" ht="15">
      <c r="B19" s="3"/>
    </row>
  </sheetData>
  <sheetProtection/>
  <mergeCells count="7">
    <mergeCell ref="B17:D17"/>
    <mergeCell ref="B3:C3"/>
    <mergeCell ref="B11:C11"/>
    <mergeCell ref="B12:D12"/>
    <mergeCell ref="B13:D13"/>
    <mergeCell ref="B14:D14"/>
    <mergeCell ref="B15:D1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E19"/>
  <sheetViews>
    <sheetView zoomScalePageLayoutView="0" workbookViewId="0" topLeftCell="A1">
      <selection activeCell="C8" sqref="C8"/>
    </sheetView>
  </sheetViews>
  <sheetFormatPr defaultColWidth="9.140625" defaultRowHeight="15"/>
  <cols>
    <col min="1" max="1" width="9.140625" style="3" customWidth="1"/>
    <col min="2" max="4" width="18.140625" style="4" customWidth="1"/>
    <col min="5" max="5" width="21.140625" style="4" customWidth="1"/>
    <col min="6" max="16384" width="9.140625" style="3" customWidth="1"/>
  </cols>
  <sheetData>
    <row r="1" ht="15">
      <c r="B1" s="27" t="s">
        <v>45</v>
      </c>
    </row>
    <row r="3" spans="2:5" ht="15">
      <c r="B3" s="85" t="s">
        <v>73</v>
      </c>
      <c r="C3" s="86"/>
      <c r="D3" s="28"/>
      <c r="E3" s="29"/>
    </row>
    <row r="4" spans="2:5" ht="30">
      <c r="B4" s="11" t="s">
        <v>74</v>
      </c>
      <c r="C4" s="7" t="s">
        <v>27</v>
      </c>
      <c r="D4" s="7" t="s">
        <v>48</v>
      </c>
      <c r="E4" s="7" t="s">
        <v>49</v>
      </c>
    </row>
    <row r="5" spans="2:5" ht="15">
      <c r="B5" s="12"/>
      <c r="C5" s="10"/>
      <c r="D5" s="10"/>
      <c r="E5" s="8" t="s">
        <v>53</v>
      </c>
    </row>
    <row r="6" spans="2:5" ht="15">
      <c r="B6" s="13"/>
      <c r="C6" s="9" t="s">
        <v>50</v>
      </c>
      <c r="D6" s="9" t="s">
        <v>51</v>
      </c>
      <c r="E6" s="9" t="s">
        <v>52</v>
      </c>
    </row>
    <row r="7" spans="2:5" ht="15">
      <c r="B7" s="30">
        <v>1</v>
      </c>
      <c r="C7" s="60">
        <v>16</v>
      </c>
      <c r="D7" s="60">
        <v>1</v>
      </c>
      <c r="E7" s="22">
        <f>IF(ISNUMBER(D7),C7*D7,"")</f>
        <v>16</v>
      </c>
    </row>
    <row r="8" spans="2:5" ht="15">
      <c r="B8" s="30">
        <v>2</v>
      </c>
      <c r="C8" s="60"/>
      <c r="D8" s="60"/>
      <c r="E8" s="22">
        <f>IF(ISNUMBER(D8),C8*D8,"")</f>
      </c>
    </row>
    <row r="9" spans="2:5" ht="15">
      <c r="B9" s="30">
        <v>3</v>
      </c>
      <c r="C9" s="60"/>
      <c r="D9" s="60"/>
      <c r="E9" s="22">
        <f>IF(ISNUMBER(D9),C9*D9,"")</f>
      </c>
    </row>
    <row r="10" spans="2:5" ht="15">
      <c r="B10" s="30">
        <v>4</v>
      </c>
      <c r="C10" s="60"/>
      <c r="D10" s="60"/>
      <c r="E10" s="22">
        <f>IF(ISNUMBER(D10),C10*D10,"")</f>
      </c>
    </row>
    <row r="11" spans="2:5" ht="15">
      <c r="B11" s="81" t="s">
        <v>55</v>
      </c>
      <c r="C11" s="81"/>
      <c r="D11" s="25">
        <f>SUM(D7:D10)</f>
        <v>1</v>
      </c>
      <c r="E11" s="22"/>
    </row>
    <row r="12" spans="2:5" ht="15">
      <c r="B12" s="81" t="s">
        <v>54</v>
      </c>
      <c r="C12" s="81"/>
      <c r="D12" s="81"/>
      <c r="E12" s="25">
        <f>SUM(E7:E10)</f>
        <v>16</v>
      </c>
    </row>
    <row r="13" spans="2:5" ht="15">
      <c r="B13" s="81" t="s">
        <v>56</v>
      </c>
      <c r="C13" s="81"/>
      <c r="D13" s="81"/>
      <c r="E13" s="24">
        <f>IF(D11=0,0,E12/D11)</f>
        <v>16</v>
      </c>
    </row>
    <row r="14" spans="2:5" ht="15">
      <c r="B14" s="87" t="s">
        <v>119</v>
      </c>
      <c r="C14" s="81"/>
      <c r="D14" s="81"/>
      <c r="E14" s="24">
        <f>MAX(C7:C10)</f>
        <v>16</v>
      </c>
    </row>
    <row r="15" spans="2:5" ht="15">
      <c r="B15" s="87" t="s">
        <v>125</v>
      </c>
      <c r="C15" s="81"/>
      <c r="D15" s="81"/>
      <c r="E15" s="24">
        <f>E14*0.7</f>
        <v>11.2</v>
      </c>
    </row>
    <row r="16" ht="15">
      <c r="B16" s="3"/>
    </row>
    <row r="17" spans="2:5" ht="15">
      <c r="B17" s="84" t="s">
        <v>58</v>
      </c>
      <c r="C17" s="84"/>
      <c r="D17" s="84"/>
      <c r="E17" s="25">
        <f>IF(E13&lt;E15,E15,E13)</f>
        <v>16</v>
      </c>
    </row>
    <row r="18" ht="15">
      <c r="B18" s="3"/>
    </row>
    <row r="19" ht="15">
      <c r="B19" s="3"/>
    </row>
  </sheetData>
  <sheetProtection/>
  <mergeCells count="7">
    <mergeCell ref="B17:D17"/>
    <mergeCell ref="B3:C3"/>
    <mergeCell ref="B11:C11"/>
    <mergeCell ref="B12:D12"/>
    <mergeCell ref="B13:D13"/>
    <mergeCell ref="B14:D14"/>
    <mergeCell ref="B15:D1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H17"/>
  <sheetViews>
    <sheetView zoomScalePageLayoutView="0" workbookViewId="0" topLeftCell="A1">
      <selection activeCell="G9" sqref="G9"/>
    </sheetView>
  </sheetViews>
  <sheetFormatPr defaultColWidth="9.140625" defaultRowHeight="15"/>
  <cols>
    <col min="1" max="1" width="9.140625" style="3" customWidth="1"/>
    <col min="2" max="7" width="18.140625" style="4" customWidth="1"/>
    <col min="8" max="8" width="21.140625" style="4" customWidth="1"/>
    <col min="9" max="16384" width="9.140625" style="3" customWidth="1"/>
  </cols>
  <sheetData>
    <row r="1" spans="2:5" ht="15">
      <c r="B1" s="27" t="s">
        <v>45</v>
      </c>
      <c r="C1" s="27"/>
      <c r="D1" s="27"/>
      <c r="E1" s="27"/>
    </row>
    <row r="3" spans="2:8" ht="15">
      <c r="B3" s="85" t="s">
        <v>75</v>
      </c>
      <c r="C3" s="86"/>
      <c r="D3" s="86"/>
      <c r="E3" s="86"/>
      <c r="F3" s="86"/>
      <c r="G3" s="28"/>
      <c r="H3" s="29"/>
    </row>
    <row r="4" spans="2:8" ht="30">
      <c r="B4" s="11" t="s">
        <v>76</v>
      </c>
      <c r="C4" s="89" t="s">
        <v>78</v>
      </c>
      <c r="D4" s="89"/>
      <c r="E4" s="32" t="s">
        <v>83</v>
      </c>
      <c r="F4" s="7" t="s">
        <v>77</v>
      </c>
      <c r="G4" s="7" t="s">
        <v>48</v>
      </c>
      <c r="H4" s="7" t="s">
        <v>49</v>
      </c>
    </row>
    <row r="5" spans="2:8" ht="15">
      <c r="B5" s="12"/>
      <c r="C5" s="10" t="s">
        <v>79</v>
      </c>
      <c r="D5" s="10" t="s">
        <v>80</v>
      </c>
      <c r="E5" s="10" t="s">
        <v>82</v>
      </c>
      <c r="F5" s="10"/>
      <c r="G5" s="10"/>
      <c r="H5" s="8" t="s">
        <v>53</v>
      </c>
    </row>
    <row r="6" spans="2:8" ht="15">
      <c r="B6" s="13"/>
      <c r="C6" s="31" t="s">
        <v>81</v>
      </c>
      <c r="D6" s="31" t="s">
        <v>81</v>
      </c>
      <c r="E6" s="31" t="s">
        <v>81</v>
      </c>
      <c r="F6" s="9" t="s">
        <v>50</v>
      </c>
      <c r="G6" s="9" t="s">
        <v>51</v>
      </c>
      <c r="H6" s="9" t="s">
        <v>52</v>
      </c>
    </row>
    <row r="7" spans="2:8" ht="15">
      <c r="B7" s="30">
        <v>1</v>
      </c>
      <c r="C7" s="59"/>
      <c r="D7" s="59"/>
      <c r="E7" s="59">
        <v>7.5</v>
      </c>
      <c r="F7" s="24">
        <f aca="true" t="shared" si="0" ref="F7:F12">IF(ISNUMBER(C7),(C7*0.33)+(D7*0.67),E7)</f>
        <v>7.5</v>
      </c>
      <c r="G7" s="60">
        <v>1</v>
      </c>
      <c r="H7" s="22">
        <f aca="true" t="shared" si="1" ref="H7:H12">IF(ISNUMBER(G7),F7*G7,"")</f>
        <v>7.5</v>
      </c>
    </row>
    <row r="8" spans="2:8" ht="15">
      <c r="B8" s="30">
        <v>2</v>
      </c>
      <c r="C8" s="59"/>
      <c r="D8" s="59"/>
      <c r="E8" s="59"/>
      <c r="F8" s="24">
        <f t="shared" si="0"/>
        <v>0</v>
      </c>
      <c r="G8" s="60"/>
      <c r="H8" s="22">
        <f t="shared" si="1"/>
      </c>
    </row>
    <row r="9" spans="2:8" ht="15">
      <c r="B9" s="30">
        <v>3</v>
      </c>
      <c r="C9" s="59"/>
      <c r="D9" s="59"/>
      <c r="E9" s="59"/>
      <c r="F9" s="24">
        <f t="shared" si="0"/>
        <v>0</v>
      </c>
      <c r="G9" s="60"/>
      <c r="H9" s="22">
        <f t="shared" si="1"/>
      </c>
    </row>
    <row r="10" spans="2:8" ht="15">
      <c r="B10" s="30">
        <v>4</v>
      </c>
      <c r="C10" s="59"/>
      <c r="D10" s="59"/>
      <c r="E10" s="59"/>
      <c r="F10" s="24">
        <f t="shared" si="0"/>
        <v>0</v>
      </c>
      <c r="G10" s="60"/>
      <c r="H10" s="22">
        <f t="shared" si="1"/>
      </c>
    </row>
    <row r="11" spans="2:8" ht="15">
      <c r="B11" s="30">
        <v>5</v>
      </c>
      <c r="C11" s="59"/>
      <c r="D11" s="59"/>
      <c r="E11" s="59"/>
      <c r="F11" s="24">
        <f t="shared" si="0"/>
        <v>0</v>
      </c>
      <c r="G11" s="60"/>
      <c r="H11" s="22">
        <f t="shared" si="1"/>
      </c>
    </row>
    <row r="12" spans="2:8" ht="15">
      <c r="B12" s="30">
        <v>6</v>
      </c>
      <c r="C12" s="59"/>
      <c r="D12" s="59"/>
      <c r="E12" s="59"/>
      <c r="F12" s="24">
        <f t="shared" si="0"/>
        <v>0</v>
      </c>
      <c r="G12" s="60"/>
      <c r="H12" s="22">
        <f t="shared" si="1"/>
      </c>
    </row>
    <row r="13" spans="2:8" ht="15">
      <c r="B13" s="87" t="s">
        <v>109</v>
      </c>
      <c r="C13" s="81"/>
      <c r="D13" s="81"/>
      <c r="E13" s="81"/>
      <c r="F13" s="81"/>
      <c r="G13" s="25">
        <f>SUM(G7:G12)</f>
        <v>1</v>
      </c>
      <c r="H13" s="58"/>
    </row>
    <row r="14" spans="2:8" ht="15">
      <c r="B14" s="87" t="s">
        <v>108</v>
      </c>
      <c r="C14" s="81"/>
      <c r="D14" s="81"/>
      <c r="E14" s="81"/>
      <c r="F14" s="81"/>
      <c r="G14" s="81"/>
      <c r="H14" s="61">
        <f>SUM(H7:H12)</f>
        <v>7.5</v>
      </c>
    </row>
    <row r="15" spans="2:8" s="62" customFormat="1" ht="15">
      <c r="B15" s="88" t="s">
        <v>107</v>
      </c>
      <c r="C15" s="84"/>
      <c r="D15" s="84"/>
      <c r="E15" s="84"/>
      <c r="F15" s="84"/>
      <c r="G15" s="84"/>
      <c r="H15" s="25">
        <f>IF(G13=0,0,H14/G13)</f>
        <v>7.5</v>
      </c>
    </row>
    <row r="16" spans="2:5" ht="15">
      <c r="B16" s="3"/>
      <c r="C16" s="3"/>
      <c r="D16" s="3"/>
      <c r="E16" s="3"/>
    </row>
    <row r="17" spans="2:5" ht="15">
      <c r="B17" s="3"/>
      <c r="C17" s="3"/>
      <c r="D17" s="3"/>
      <c r="E17" s="3"/>
    </row>
  </sheetData>
  <sheetProtection/>
  <mergeCells count="5">
    <mergeCell ref="B15:G15"/>
    <mergeCell ref="C4:D4"/>
    <mergeCell ref="B3:F3"/>
    <mergeCell ref="B13:F13"/>
    <mergeCell ref="B14:G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Dene</dc:creator>
  <cp:keywords/>
  <dc:description/>
  <cp:lastModifiedBy>Monika Marczewska</cp:lastModifiedBy>
  <dcterms:created xsi:type="dcterms:W3CDTF">2010-01-18T15:57:40Z</dcterms:created>
  <dcterms:modified xsi:type="dcterms:W3CDTF">2018-01-25T09:18:50Z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